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5" windowWidth="15195" windowHeight="7920" tabRatio="678" activeTab="0"/>
  </bookViews>
  <sheets>
    <sheet name="Размеры" sheetId="1" r:id="rId1"/>
    <sheet name="Расходы" sheetId="2" r:id="rId2"/>
    <sheet name="Фасад" sheetId="3" r:id="rId3"/>
    <sheet name="Деталировка" sheetId="4" r:id="rId4"/>
  </sheets>
  <definedNames>
    <definedName name="_xlnm._FilterDatabase" localSheetId="0" hidden="1">'Размеры'!$A$1:$O$148</definedName>
  </definedNames>
  <calcPr fullCalcOnLoad="1"/>
</workbook>
</file>

<file path=xl/comments1.xml><?xml version="1.0" encoding="utf-8"?>
<comments xmlns="http://schemas.openxmlformats.org/spreadsheetml/2006/main">
  <authors>
    <author>Vadim</author>
  </authors>
  <commentList>
    <comment ref="C41" authorId="0">
      <text>
        <r>
          <rPr>
            <b/>
            <sz val="8"/>
            <rFont val="Tahoma"/>
            <family val="0"/>
          </rPr>
          <t>Vadim:</t>
        </r>
        <r>
          <rPr>
            <sz val="8"/>
            <rFont val="Tahoma"/>
            <family val="0"/>
          </rPr>
          <t xml:space="preserve">
От фронтальной линии 570 мм отнять зазор от стены 90 мм</t>
        </r>
      </text>
    </comment>
  </commentList>
</comments>
</file>

<file path=xl/comments2.xml><?xml version="1.0" encoding="utf-8"?>
<comments xmlns="http://schemas.openxmlformats.org/spreadsheetml/2006/main">
  <authors>
    <author>Vadim</author>
  </authors>
  <commentList>
    <comment ref="B49" authorId="0">
      <text>
        <r>
          <rPr>
            <b/>
            <sz val="8"/>
            <rFont val="Tahoma"/>
            <family val="0"/>
          </rPr>
          <t>Vadim:</t>
        </r>
        <r>
          <rPr>
            <sz val="8"/>
            <rFont val="Tahoma"/>
            <family val="0"/>
          </rPr>
          <t xml:space="preserve">
Для крепления стоек угловых шкафов, столешницы </t>
        </r>
      </text>
    </comment>
  </commentList>
</comments>
</file>

<file path=xl/sharedStrings.xml><?xml version="1.0" encoding="utf-8"?>
<sst xmlns="http://schemas.openxmlformats.org/spreadsheetml/2006/main" count="695" uniqueCount="312">
  <si>
    <t>№</t>
  </si>
  <si>
    <t>a</t>
  </si>
  <si>
    <t>b</t>
  </si>
  <si>
    <t>S, кв.м</t>
  </si>
  <si>
    <t>Кол-во</t>
  </si>
  <si>
    <t>Игого</t>
  </si>
  <si>
    <t>высота</t>
  </si>
  <si>
    <t>ширина</t>
  </si>
  <si>
    <t>глубина</t>
  </si>
  <si>
    <t>№1</t>
  </si>
  <si>
    <t>Тумба (возле окна)</t>
  </si>
  <si>
    <t>Тотально</t>
  </si>
  <si>
    <t>Длина фасада внизу без духовки</t>
  </si>
  <si>
    <t>Площадь</t>
  </si>
  <si>
    <t>Длина фасада вверху</t>
  </si>
  <si>
    <t>грн</t>
  </si>
  <si>
    <t>№2</t>
  </si>
  <si>
    <t>Плита встраиваемая</t>
  </si>
  <si>
    <t>боковина тумбы</t>
  </si>
  <si>
    <t>боковина ящиков</t>
  </si>
  <si>
    <t>перед ящиков</t>
  </si>
  <si>
    <t>ширина тумбы - 90</t>
  </si>
  <si>
    <t>№3</t>
  </si>
  <si>
    <t>Тумба ящиковая</t>
  </si>
  <si>
    <t>№4</t>
  </si>
  <si>
    <t>№5</t>
  </si>
  <si>
    <t>№6</t>
  </si>
  <si>
    <t>Площадь деталей низа кухни</t>
  </si>
  <si>
    <t>Низ кухни</t>
  </si>
  <si>
    <t>Верх кухни</t>
  </si>
  <si>
    <t>боковина шкафа</t>
  </si>
  <si>
    <t>полки, верх и дно</t>
  </si>
  <si>
    <t>Шкаф (возле окна)</t>
  </si>
  <si>
    <t>№7</t>
  </si>
  <si>
    <t>нижняя полка</t>
  </si>
  <si>
    <t>№8</t>
  </si>
  <si>
    <t>сделать дырки под трубу вытяжки</t>
  </si>
  <si>
    <t>№9</t>
  </si>
  <si>
    <t>№10</t>
  </si>
  <si>
    <t>держится на трубе посередине</t>
  </si>
  <si>
    <t>Сушка</t>
  </si>
  <si>
    <t>№11</t>
  </si>
  <si>
    <t>№12</t>
  </si>
  <si>
    <t>Площадь деталей верха кухни</t>
  </si>
  <si>
    <t>Вся кухня</t>
  </si>
  <si>
    <t>Карниз</t>
  </si>
  <si>
    <t>№13</t>
  </si>
  <si>
    <t>Без карниза</t>
  </si>
  <si>
    <t>С карнизом</t>
  </si>
  <si>
    <t>Фасад</t>
  </si>
  <si>
    <t>Ручки</t>
  </si>
  <si>
    <t>Кромка</t>
  </si>
  <si>
    <t>Доставка</t>
  </si>
  <si>
    <t>Мойка</t>
  </si>
  <si>
    <t>Плита</t>
  </si>
  <si>
    <t>Духовка</t>
  </si>
  <si>
    <t>Плитка</t>
  </si>
  <si>
    <t>Обои</t>
  </si>
  <si>
    <t>Окно</t>
  </si>
  <si>
    <t>Вытяжка</t>
  </si>
  <si>
    <t>Цена ед</t>
  </si>
  <si>
    <t>Стоимость</t>
  </si>
  <si>
    <t>полка</t>
  </si>
  <si>
    <t>пол</t>
  </si>
  <si>
    <t>рёбра сзади и сверху</t>
  </si>
  <si>
    <t>Фасады</t>
  </si>
  <si>
    <t>Увеличил высоту на 2 см, уменьшил отступ от пола до 8 см, чтоб ящик под духовкой сделать больше</t>
  </si>
  <si>
    <t>рёбра сзади и сверху и снизу</t>
  </si>
  <si>
    <t>дно</t>
  </si>
  <si>
    <t>Площадь фасадов низа кухни</t>
  </si>
  <si>
    <t>сервант</t>
  </si>
  <si>
    <t>угловой</t>
  </si>
  <si>
    <t>вытяжка</t>
  </si>
  <si>
    <t>над сушкой</t>
  </si>
  <si>
    <t>Площадь фасадов верха кухни</t>
  </si>
  <si>
    <t>Итого фасадов</t>
  </si>
  <si>
    <t>Цена 1 м2</t>
  </si>
  <si>
    <t>Штук</t>
  </si>
  <si>
    <t>План</t>
  </si>
  <si>
    <t>Шкаф вытяжной</t>
  </si>
  <si>
    <t>Шкаф-витрина</t>
  </si>
  <si>
    <t>ребро жесткости</t>
  </si>
  <si>
    <t>2 штуки</t>
  </si>
  <si>
    <t>Шкаф в углу</t>
  </si>
  <si>
    <t xml:space="preserve">задняя </t>
  </si>
  <si>
    <t>полка-заужена, чтоб тарелки вытаскивать</t>
  </si>
  <si>
    <t>Полки</t>
  </si>
  <si>
    <t>боковина</t>
  </si>
  <si>
    <t>№15</t>
  </si>
  <si>
    <t>Шкафчик терминальный</t>
  </si>
  <si>
    <t>Вставки на балк. двери</t>
  </si>
  <si>
    <t>Плинтус</t>
  </si>
  <si>
    <t>№16</t>
  </si>
  <si>
    <t>№17</t>
  </si>
  <si>
    <t>полки над столом</t>
  </si>
  <si>
    <t>Полки над столом</t>
  </si>
  <si>
    <t>Столешница</t>
  </si>
  <si>
    <t>№18</t>
  </si>
  <si>
    <t>боковые</t>
  </si>
  <si>
    <t>полки внутри</t>
  </si>
  <si>
    <t>полки снаружи</t>
  </si>
  <si>
    <t>Основная</t>
  </si>
  <si>
    <t>Сбоку</t>
  </si>
  <si>
    <t>Добавка к основной</t>
  </si>
  <si>
    <t>Стол</t>
  </si>
  <si>
    <t>Подоконник</t>
  </si>
  <si>
    <t>*</t>
  </si>
  <si>
    <t>плинтус</t>
  </si>
  <si>
    <t>балкон</t>
  </si>
  <si>
    <t>перила</t>
  </si>
  <si>
    <t>боковина ящика</t>
  </si>
  <si>
    <t>ширина переда ящика =</t>
  </si>
  <si>
    <t>средняя для ящиков</t>
  </si>
  <si>
    <t>боковые ящиков</t>
  </si>
  <si>
    <t>Ш1</t>
  </si>
  <si>
    <t>Ш2</t>
  </si>
  <si>
    <t>Тумба угловая - мойка</t>
  </si>
  <si>
    <t>ЛП</t>
  </si>
  <si>
    <t>Я</t>
  </si>
  <si>
    <t>Л</t>
  </si>
  <si>
    <t>П</t>
  </si>
  <si>
    <t>Стойки полок Олегу</t>
  </si>
  <si>
    <t>Олег</t>
  </si>
  <si>
    <t>Наименование</t>
  </si>
  <si>
    <t>ДСП</t>
  </si>
  <si>
    <t>Порезка</t>
  </si>
  <si>
    <t>Известь</t>
  </si>
  <si>
    <t>Дюбеля</t>
  </si>
  <si>
    <t>стяжки</t>
  </si>
  <si>
    <t>планка соединит</t>
  </si>
  <si>
    <t>Светильники</t>
  </si>
  <si>
    <t>Шурупы 3.5х16</t>
  </si>
  <si>
    <t>Конфирматы</t>
  </si>
  <si>
    <t>Петли</t>
  </si>
  <si>
    <t>Ножки</t>
  </si>
  <si>
    <t>герметик силикон</t>
  </si>
  <si>
    <t>Труба пластиковая</t>
  </si>
  <si>
    <t>Т-кромка</t>
  </si>
  <si>
    <t>Стяжки для столешниц</t>
  </si>
  <si>
    <t>Стяжки мебельные</t>
  </si>
  <si>
    <t>Направляющие 500</t>
  </si>
  <si>
    <t>Смеситель</t>
  </si>
  <si>
    <t>Уже</t>
  </si>
  <si>
    <t>Заплачено</t>
  </si>
  <si>
    <t>Реллинг</t>
  </si>
  <si>
    <t>Планка монтажная</t>
  </si>
  <si>
    <t>Ламинат</t>
  </si>
  <si>
    <t>Уголки</t>
  </si>
  <si>
    <t>Отверстия под петли</t>
  </si>
  <si>
    <t>Полкодержатели</t>
  </si>
  <si>
    <t>Стекло</t>
  </si>
  <si>
    <t>Стеклодержатели</t>
  </si>
  <si>
    <t>ДВП</t>
  </si>
  <si>
    <t>верх, дно, полка</t>
  </si>
  <si>
    <t>???</t>
  </si>
  <si>
    <t>??</t>
  </si>
  <si>
    <t>перед ящика</t>
  </si>
  <si>
    <t>верх, полка</t>
  </si>
  <si>
    <t>верх, дно, полки</t>
  </si>
  <si>
    <t>гипотенуза</t>
  </si>
  <si>
    <t>№7,№7А</t>
  </si>
  <si>
    <t>№8,№8А</t>
  </si>
  <si>
    <t>фронт ящика</t>
  </si>
  <si>
    <t>Уголок реллинга</t>
  </si>
  <si>
    <t>Пленка самоклейка 90 см</t>
  </si>
  <si>
    <t>Консоль для бачка</t>
  </si>
  <si>
    <t>Смывка для извести</t>
  </si>
  <si>
    <t>Кол-во фасадов низа кухни</t>
  </si>
  <si>
    <t>Кол-во фасадов верха кухни</t>
  </si>
  <si>
    <t>Тумба у окна</t>
  </si>
  <si>
    <t>Ящики</t>
  </si>
  <si>
    <t>Угол</t>
  </si>
  <si>
    <t>Возле мойки</t>
  </si>
  <si>
    <t>Терминальная тумба</t>
  </si>
  <si>
    <t>Шк у окна</t>
  </si>
  <si>
    <t>Угловой</t>
  </si>
  <si>
    <t>Сервант</t>
  </si>
  <si>
    <t>Площадь низа</t>
  </si>
  <si>
    <t>Кол-во фасадов низа</t>
  </si>
  <si>
    <t>Площадь верха</t>
  </si>
  <si>
    <t>Кол-во фасадов верха</t>
  </si>
  <si>
    <t>ВЕРХ</t>
  </si>
  <si>
    <t>Соединитель столешниц углов</t>
  </si>
  <si>
    <t>Петли 135</t>
  </si>
  <si>
    <t>Кронштейны реллинга</t>
  </si>
  <si>
    <t>Стена за мойкой: глубина уменьшена на 20</t>
  </si>
  <si>
    <t>боковины больших ящиков</t>
  </si>
  <si>
    <t>Карниз-2</t>
  </si>
  <si>
    <t>Фланцы на трубу - 25</t>
  </si>
  <si>
    <t>Фланцы на реллинг</t>
  </si>
  <si>
    <t>Направляющие 550</t>
  </si>
  <si>
    <t>Направляющие полного выдвижения</t>
  </si>
  <si>
    <t>бок верхнего ящика</t>
  </si>
  <si>
    <t>рёбра (можно сделать 1 фронт ящика</t>
  </si>
  <si>
    <t>Тумба слева от плиты</t>
  </si>
  <si>
    <t>Двухсторонняя лента</t>
  </si>
  <si>
    <t>Карниз МДФ</t>
  </si>
  <si>
    <t>Накладка МДФ для антресоли</t>
  </si>
  <si>
    <t>Антресоль</t>
  </si>
  <si>
    <t>Стойки боковые</t>
  </si>
  <si>
    <t>Двери</t>
  </si>
  <si>
    <t>Задняя стенка</t>
  </si>
  <si>
    <t>Дно</t>
  </si>
  <si>
    <t>Труба никелированая-25мм</t>
  </si>
  <si>
    <t>Тыл 2х ящиков Дорезаю из своих</t>
  </si>
  <si>
    <t>Распил столешницы</t>
  </si>
  <si>
    <t>Криволинейный распил ДСП 28мм</t>
  </si>
  <si>
    <t>Фрезеровка по шаблону</t>
  </si>
  <si>
    <t>Клипсы к ножкам</t>
  </si>
  <si>
    <t>Фиксаторы гориз.откр (Лифт подъёмник для двери)</t>
  </si>
  <si>
    <t>Заглушка на реллинг</t>
  </si>
  <si>
    <t>Ушко регулируемое (Навесы для шкафов навесных )</t>
  </si>
  <si>
    <t>Угол к цоколю 90 град</t>
  </si>
  <si>
    <t>Угол к цоколю 135 град</t>
  </si>
  <si>
    <t>Бачок</t>
  </si>
  <si>
    <t>Преходники</t>
  </si>
  <si>
    <t>коробки под розетки</t>
  </si>
  <si>
    <t>клей-цемент</t>
  </si>
  <si>
    <t>затирка шва</t>
  </si>
  <si>
    <t>Пеликан</t>
  </si>
  <si>
    <t>Выс</t>
  </si>
  <si>
    <t>Шир</t>
  </si>
  <si>
    <t>Т</t>
  </si>
  <si>
    <t>Св</t>
  </si>
  <si>
    <t>Витрина</t>
  </si>
  <si>
    <t>Нестандарт</t>
  </si>
  <si>
    <t>ВВ</t>
  </si>
  <si>
    <t>Отбойники газовые</t>
  </si>
  <si>
    <t>Фартук</t>
  </si>
  <si>
    <t>Запасная</t>
  </si>
  <si>
    <t>Жидкие гвозди</t>
  </si>
  <si>
    <t>Грунтовка</t>
  </si>
  <si>
    <t>Кабель 3х жильный мощный</t>
  </si>
  <si>
    <t>Кабель для заземления</t>
  </si>
  <si>
    <t>Краны водопроводные</t>
  </si>
  <si>
    <t>Доставка плитки и ламината</t>
  </si>
  <si>
    <t>карниз</t>
  </si>
  <si>
    <t>Выключатели и розетки</t>
  </si>
  <si>
    <t>Пакеты п/эт</t>
  </si>
  <si>
    <t>Киянка резиновая</t>
  </si>
  <si>
    <t>пленка для защиты мебели 20 м2</t>
  </si>
  <si>
    <t>синька для извести</t>
  </si>
  <si>
    <t>сатен-гипс</t>
  </si>
  <si>
    <t xml:space="preserve">краска акриловая </t>
  </si>
  <si>
    <t>сеточка шлифовальная</t>
  </si>
  <si>
    <t>фриз потолочный</t>
  </si>
  <si>
    <t>уголок под шпатлевку</t>
  </si>
  <si>
    <t>крестики</t>
  </si>
  <si>
    <t>Шайбы мебельные</t>
  </si>
  <si>
    <t>Торцовочные уголки</t>
  </si>
  <si>
    <t>запаска валика</t>
  </si>
  <si>
    <t>шпатель 250 мм</t>
  </si>
  <si>
    <t>Перфоратор</t>
  </si>
  <si>
    <t>Шланг газовый</t>
  </si>
  <si>
    <t>сетка - серпянка</t>
  </si>
  <si>
    <t>фриз потолочный-2</t>
  </si>
  <si>
    <t>изогипс</t>
  </si>
  <si>
    <t>Торцовочные уголки алюминий 10 мм</t>
  </si>
  <si>
    <t>коробка под розетку тройная</t>
  </si>
  <si>
    <t>изогипс 30 кг</t>
  </si>
  <si>
    <t>L-профиль для вагонки</t>
  </si>
  <si>
    <t>розетки</t>
  </si>
  <si>
    <t>краска эмаль</t>
  </si>
  <si>
    <t>Клипсы к кабелю</t>
  </si>
  <si>
    <t>Шурупы 4х30</t>
  </si>
  <si>
    <t>коробка под автомат</t>
  </si>
  <si>
    <t>кисточка</t>
  </si>
  <si>
    <t>кабель аккустический</t>
  </si>
  <si>
    <t>сверло для перфоратора 6 мм</t>
  </si>
  <si>
    <t>скотч</t>
  </si>
  <si>
    <t>клей обойный</t>
  </si>
  <si>
    <t>фитинги для сантехники</t>
  </si>
  <si>
    <t>сверла</t>
  </si>
  <si>
    <t>Смеситель второй</t>
  </si>
  <si>
    <t>вводы в смеситель, пара</t>
  </si>
  <si>
    <t>сверло 12 мм</t>
  </si>
  <si>
    <t>шайбы</t>
  </si>
  <si>
    <t>Шайбы под кронштейны реллинга</t>
  </si>
  <si>
    <t>???-может уменьшить</t>
  </si>
  <si>
    <t>шланг к бачку сливной</t>
  </si>
  <si>
    <t>шайба к штуцеру</t>
  </si>
  <si>
    <t>штуцер к шлангу</t>
  </si>
  <si>
    <t>поддон к бачку</t>
  </si>
  <si>
    <t>шланг от бачка к смесителю</t>
  </si>
  <si>
    <t>Пленка самоклейка 45 х 60см</t>
  </si>
  <si>
    <t>автоматы</t>
  </si>
  <si>
    <t>щиток электрический</t>
  </si>
  <si>
    <t>счетчик электрический</t>
  </si>
  <si>
    <t>колодка соединительная</t>
  </si>
  <si>
    <t>Кромка широкая</t>
  </si>
  <si>
    <t>доставка фасада</t>
  </si>
  <si>
    <t>фреза 35 мм для фасадов</t>
  </si>
  <si>
    <t>уголок в угол ламината алюм</t>
  </si>
  <si>
    <t>Клапан бачковый</t>
  </si>
  <si>
    <t>Лампочки галогеновые 35 Вт</t>
  </si>
  <si>
    <t>Трансформатор к галогенкам</t>
  </si>
  <si>
    <t>Светильник люминсц 8 Вт</t>
  </si>
  <si>
    <t>Гофр. труба к вытяжке</t>
  </si>
  <si>
    <t>Решетка на вентиляцию</t>
  </si>
  <si>
    <t>пилки к лобзику</t>
  </si>
  <si>
    <t>Точенки фигурные</t>
  </si>
  <si>
    <t>Реал</t>
  </si>
  <si>
    <t>Поверхность газовая</t>
  </si>
  <si>
    <t>Верх</t>
  </si>
  <si>
    <t>Низ</t>
  </si>
  <si>
    <t>Угол верх</t>
  </si>
  <si>
    <t>Низ угол</t>
  </si>
  <si>
    <t>Все в гривнах</t>
  </si>
  <si>
    <t>Мебель</t>
  </si>
  <si>
    <t>курс</t>
  </si>
  <si>
    <t>5 грн/1$</t>
  </si>
  <si>
    <t>Ремонт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</si>
</sst>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1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7" borderId="22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6" borderId="16" xfId="0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3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8" borderId="6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8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4" borderId="3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7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7" borderId="16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30" xfId="0" applyBorder="1" applyAlignment="1">
      <alignment horizontal="center"/>
    </xf>
    <xf numFmtId="0" fontId="6" fillId="0" borderId="0" xfId="0" applyFont="1" applyAlignment="1">
      <alignment/>
    </xf>
    <xf numFmtId="0" fontId="0" fillId="0" borderId="27" xfId="0" applyFill="1" applyBorder="1" applyAlignment="1">
      <alignment horizontal="center"/>
    </xf>
    <xf numFmtId="0" fontId="0" fillId="3" borderId="39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5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" borderId="40" xfId="0" applyFill="1" applyBorder="1" applyAlignment="1">
      <alignment/>
    </xf>
    <xf numFmtId="0" fontId="0" fillId="0" borderId="0" xfId="0" applyFont="1" applyAlignment="1">
      <alignment/>
    </xf>
    <xf numFmtId="0" fontId="0" fillId="0" borderId="46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5" borderId="4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7" xfId="0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" xfId="0" applyFill="1" applyBorder="1" applyAlignment="1">
      <alignment/>
    </xf>
    <xf numFmtId="0" fontId="0" fillId="4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9" borderId="6" xfId="0" applyFill="1" applyBorder="1" applyAlignment="1">
      <alignment/>
    </xf>
    <xf numFmtId="0" fontId="0" fillId="9" borderId="54" xfId="0" applyFill="1" applyBorder="1" applyAlignment="1">
      <alignment/>
    </xf>
    <xf numFmtId="0" fontId="0" fillId="7" borderId="0" xfId="0" applyFill="1" applyAlignment="1">
      <alignment/>
    </xf>
    <xf numFmtId="0" fontId="0" fillId="9" borderId="50" xfId="0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52" xfId="0" applyNumberFormat="1" applyBorder="1" applyAlignment="1">
      <alignment/>
    </xf>
    <xf numFmtId="0" fontId="0" fillId="0" borderId="30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3" xfId="0" applyFill="1" applyBorder="1" applyAlignment="1">
      <alignment/>
    </xf>
    <xf numFmtId="0" fontId="0" fillId="0" borderId="5" xfId="0" applyBorder="1" applyAlignment="1">
      <alignment/>
    </xf>
    <xf numFmtId="0" fontId="0" fillId="3" borderId="12" xfId="0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7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4" borderId="30" xfId="0" applyFill="1" applyBorder="1" applyAlignment="1">
      <alignment/>
    </xf>
    <xf numFmtId="0" fontId="0" fillId="4" borderId="41" xfId="0" applyFill="1" applyBorder="1" applyAlignment="1">
      <alignment horizontal="center"/>
    </xf>
    <xf numFmtId="0" fontId="0" fillId="5" borderId="24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4" borderId="38" xfId="0" applyFill="1" applyBorder="1" applyAlignment="1">
      <alignment/>
    </xf>
    <xf numFmtId="0" fontId="0" fillId="5" borderId="38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11" borderId="2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6" xfId="0" applyBorder="1" applyAlignment="1">
      <alignment/>
    </xf>
    <xf numFmtId="0" fontId="3" fillId="3" borderId="34" xfId="0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12" borderId="35" xfId="0" applyFont="1" applyFill="1" applyBorder="1" applyAlignment="1">
      <alignment/>
    </xf>
    <xf numFmtId="0" fontId="1" fillId="12" borderId="37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1" fillId="6" borderId="46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6" borderId="48" xfId="0" applyFont="1" applyFill="1" applyBorder="1" applyAlignment="1">
      <alignment/>
    </xf>
    <xf numFmtId="0" fontId="1" fillId="6" borderId="57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34" xfId="0" applyFont="1" applyFill="1" applyBorder="1" applyAlignment="1">
      <alignment/>
    </xf>
    <xf numFmtId="0" fontId="1" fillId="0" borderId="7" xfId="0" applyFont="1" applyBorder="1" applyAlignment="1">
      <alignment/>
    </xf>
    <xf numFmtId="1" fontId="0" fillId="0" borderId="58" xfId="0" applyNumberFormat="1" applyBorder="1" applyAlignment="1">
      <alignment/>
    </xf>
    <xf numFmtId="0" fontId="1" fillId="4" borderId="59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6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40" xfId="0" applyFill="1" applyBorder="1" applyAlignment="1">
      <alignment/>
    </xf>
    <xf numFmtId="0" fontId="0" fillId="4" borderId="6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/>
    </xf>
    <xf numFmtId="0" fontId="0" fillId="0" borderId="49" xfId="0" applyBorder="1" applyAlignment="1">
      <alignment/>
    </xf>
    <xf numFmtId="0" fontId="0" fillId="0" borderId="8" xfId="0" applyBorder="1" applyAlignment="1">
      <alignment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3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0" xfId="0" applyFill="1" applyBorder="1" applyAlignment="1">
      <alignment/>
    </xf>
    <xf numFmtId="0" fontId="1" fillId="7" borderId="33" xfId="0" applyFont="1" applyFill="1" applyBorder="1" applyAlignment="1">
      <alignment horizontal="center"/>
    </xf>
    <xf numFmtId="0" fontId="1" fillId="7" borderId="57" xfId="0" applyFont="1" applyFill="1" applyBorder="1" applyAlignment="1">
      <alignment/>
    </xf>
    <xf numFmtId="0" fontId="0" fillId="7" borderId="34" xfId="0" applyFill="1" applyBorder="1" applyAlignment="1">
      <alignment/>
    </xf>
    <xf numFmtId="1" fontId="0" fillId="9" borderId="5" xfId="0" applyNumberFormat="1" applyFill="1" applyBorder="1" applyAlignment="1">
      <alignment/>
    </xf>
    <xf numFmtId="1" fontId="0" fillId="9" borderId="6" xfId="0" applyNumberFormat="1" applyFill="1" applyBorder="1" applyAlignment="1">
      <alignment/>
    </xf>
    <xf numFmtId="1" fontId="0" fillId="9" borderId="7" xfId="0" applyNumberFormat="1" applyFill="1" applyBorder="1" applyAlignment="1">
      <alignment/>
    </xf>
    <xf numFmtId="1" fontId="0" fillId="9" borderId="52" xfId="0" applyNumberFormat="1" applyFill="1" applyBorder="1" applyAlignment="1">
      <alignment/>
    </xf>
    <xf numFmtId="2" fontId="0" fillId="9" borderId="7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9" borderId="6" xfId="0" applyNumberFormat="1" applyFill="1" applyBorder="1" applyAlignment="1">
      <alignment/>
    </xf>
    <xf numFmtId="2" fontId="0" fillId="9" borderId="5" xfId="0" applyNumberFormat="1" applyFill="1" applyBorder="1" applyAlignment="1">
      <alignment/>
    </xf>
    <xf numFmtId="1" fontId="0" fillId="9" borderId="20" xfId="0" applyNumberFormat="1" applyFill="1" applyBorder="1" applyAlignment="1">
      <alignment/>
    </xf>
    <xf numFmtId="1" fontId="0" fillId="9" borderId="64" xfId="0" applyNumberFormat="1" applyFill="1" applyBorder="1" applyAlignment="1">
      <alignment/>
    </xf>
    <xf numFmtId="2" fontId="0" fillId="0" borderId="65" xfId="0" applyNumberFormat="1" applyBorder="1" applyAlignment="1">
      <alignment/>
    </xf>
    <xf numFmtId="2" fontId="0" fillId="9" borderId="65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" fontId="0" fillId="3" borderId="52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13" borderId="31" xfId="0" applyFill="1" applyBorder="1" applyAlignment="1">
      <alignment/>
    </xf>
    <xf numFmtId="0" fontId="0" fillId="14" borderId="32" xfId="0" applyFill="1" applyBorder="1" applyAlignment="1">
      <alignment/>
    </xf>
    <xf numFmtId="0" fontId="0" fillId="13" borderId="32" xfId="0" applyFill="1" applyBorder="1" applyAlignment="1">
      <alignment/>
    </xf>
    <xf numFmtId="0" fontId="0" fillId="13" borderId="33" xfId="0" applyFill="1" applyBorder="1" applyAlignment="1">
      <alignment/>
    </xf>
    <xf numFmtId="0" fontId="0" fillId="14" borderId="31" xfId="0" applyFill="1" applyBorder="1" applyAlignment="1">
      <alignment/>
    </xf>
    <xf numFmtId="0" fontId="0" fillId="14" borderId="33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6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3" xfId="0" applyFill="1" applyBorder="1" applyAlignment="1">
      <alignment/>
    </xf>
    <xf numFmtId="0" fontId="0" fillId="15" borderId="6" xfId="0" applyFill="1" applyBorder="1" applyAlignment="1">
      <alignment/>
    </xf>
    <xf numFmtId="2" fontId="0" fillId="9" borderId="52" xfId="0" applyNumberFormat="1" applyFill="1" applyBorder="1" applyAlignment="1">
      <alignment/>
    </xf>
    <xf numFmtId="1" fontId="0" fillId="9" borderId="65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0" fontId="0" fillId="9" borderId="4" xfId="0" applyFill="1" applyBorder="1" applyAlignment="1">
      <alignment horizontal="center"/>
    </xf>
    <xf numFmtId="1" fontId="0" fillId="9" borderId="29" xfId="0" applyNumberFormat="1" applyFill="1" applyBorder="1" applyAlignment="1">
      <alignment/>
    </xf>
    <xf numFmtId="2" fontId="0" fillId="9" borderId="29" xfId="0" applyNumberFormat="1" applyFill="1" applyBorder="1" applyAlignment="1">
      <alignment/>
    </xf>
    <xf numFmtId="1" fontId="0" fillId="9" borderId="6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50" xfId="0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2" fontId="0" fillId="0" borderId="5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65" xfId="0" applyNumberFormat="1" applyFill="1" applyBorder="1" applyAlignment="1">
      <alignment/>
    </xf>
    <xf numFmtId="14" fontId="0" fillId="3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9" borderId="42" xfId="0" applyNumberFormat="1" applyFill="1" applyBorder="1" applyAlignment="1">
      <alignment/>
    </xf>
    <xf numFmtId="1" fontId="0" fillId="9" borderId="54" xfId="0" applyNumberFormat="1" applyFill="1" applyBorder="1" applyAlignment="1">
      <alignment/>
    </xf>
    <xf numFmtId="1" fontId="0" fillId="9" borderId="58" xfId="0" applyNumberFormat="1" applyFill="1" applyBorder="1" applyAlignment="1">
      <alignment/>
    </xf>
    <xf numFmtId="0" fontId="0" fillId="9" borderId="11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0" fillId="9" borderId="25" xfId="0" applyFill="1" applyBorder="1" applyAlignment="1">
      <alignment horizontal="right"/>
    </xf>
    <xf numFmtId="0" fontId="0" fillId="9" borderId="42" xfId="0" applyFill="1" applyBorder="1" applyAlignment="1">
      <alignment horizontal="right"/>
    </xf>
    <xf numFmtId="1" fontId="0" fillId="9" borderId="54" xfId="0" applyNumberFormat="1" applyFill="1" applyBorder="1" applyAlignment="1">
      <alignment horizontal="right"/>
    </xf>
    <xf numFmtId="1" fontId="0" fillId="9" borderId="58" xfId="0" applyNumberFormat="1" applyFill="1" applyBorder="1" applyAlignment="1">
      <alignment horizontal="right"/>
    </xf>
    <xf numFmtId="1" fontId="0" fillId="9" borderId="5" xfId="0" applyNumberFormat="1" applyFill="1" applyBorder="1" applyAlignment="1">
      <alignment horizontal="right"/>
    </xf>
    <xf numFmtId="1" fontId="0" fillId="9" borderId="6" xfId="0" applyNumberFormat="1" applyFill="1" applyBorder="1" applyAlignment="1">
      <alignment horizontal="right"/>
    </xf>
    <xf numFmtId="0" fontId="0" fillId="9" borderId="21" xfId="0" applyFill="1" applyBorder="1" applyAlignment="1">
      <alignment horizontal="right"/>
    </xf>
    <xf numFmtId="0" fontId="0" fillId="9" borderId="20" xfId="0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1" fontId="0" fillId="0" borderId="64" xfId="0" applyNumberFormat="1" applyBorder="1" applyAlignment="1">
      <alignment/>
    </xf>
    <xf numFmtId="1" fontId="0" fillId="0" borderId="54" xfId="0" applyNumberFormat="1" applyBorder="1" applyAlignment="1">
      <alignment/>
    </xf>
    <xf numFmtId="0" fontId="0" fillId="9" borderId="66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9" borderId="56" xfId="0" applyFill="1" applyBorder="1" applyAlignment="1">
      <alignment horizontal="right"/>
    </xf>
    <xf numFmtId="0" fontId="0" fillId="9" borderId="52" xfId="0" applyFill="1" applyBorder="1" applyAlignment="1">
      <alignment horizontal="right"/>
    </xf>
    <xf numFmtId="0" fontId="0" fillId="9" borderId="67" xfId="0" applyFill="1" applyBorder="1" applyAlignment="1">
      <alignment horizontal="right"/>
    </xf>
    <xf numFmtId="1" fontId="0" fillId="9" borderId="68" xfId="0" applyNumberFormat="1" applyFill="1" applyBorder="1" applyAlignment="1">
      <alignment/>
    </xf>
    <xf numFmtId="0" fontId="0" fillId="9" borderId="52" xfId="0" applyFill="1" applyBorder="1" applyAlignment="1">
      <alignment/>
    </xf>
    <xf numFmtId="2" fontId="0" fillId="9" borderId="25" xfId="0" applyNumberFormat="1" applyFill="1" applyBorder="1" applyAlignment="1">
      <alignment/>
    </xf>
    <xf numFmtId="2" fontId="0" fillId="9" borderId="47" xfId="0" applyNumberFormat="1" applyFill="1" applyBorder="1" applyAlignment="1">
      <alignment/>
    </xf>
    <xf numFmtId="2" fontId="0" fillId="9" borderId="23" xfId="0" applyNumberFormat="1" applyFill="1" applyBorder="1" applyAlignment="1">
      <alignment/>
    </xf>
    <xf numFmtId="2" fontId="0" fillId="9" borderId="50" xfId="0" applyNumberFormat="1" applyFill="1" applyBorder="1" applyAlignment="1">
      <alignment/>
    </xf>
    <xf numFmtId="2" fontId="0" fillId="9" borderId="41" xfId="0" applyNumberFormat="1" applyFill="1" applyBorder="1" applyAlignment="1">
      <alignment/>
    </xf>
    <xf numFmtId="0" fontId="0" fillId="9" borderId="60" xfId="0" applyFill="1" applyBorder="1" applyAlignment="1">
      <alignment/>
    </xf>
    <xf numFmtId="1" fontId="0" fillId="9" borderId="69" xfId="0" applyNumberFormat="1" applyFill="1" applyBorder="1" applyAlignment="1">
      <alignment/>
    </xf>
    <xf numFmtId="2" fontId="0" fillId="9" borderId="14" xfId="0" applyNumberFormat="1" applyFill="1" applyBorder="1" applyAlignment="1">
      <alignment/>
    </xf>
    <xf numFmtId="1" fontId="0" fillId="9" borderId="30" xfId="0" applyNumberFormat="1" applyFill="1" applyBorder="1" applyAlignment="1">
      <alignment/>
    </xf>
    <xf numFmtId="1" fontId="0" fillId="9" borderId="40" xfId="0" applyNumberFormat="1" applyFill="1" applyBorder="1" applyAlignment="1">
      <alignment/>
    </xf>
    <xf numFmtId="1" fontId="0" fillId="9" borderId="70" xfId="0" applyNumberFormat="1" applyFill="1" applyBorder="1" applyAlignment="1">
      <alignment/>
    </xf>
    <xf numFmtId="2" fontId="0" fillId="9" borderId="30" xfId="0" applyNumberForma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6" fillId="0" borderId="57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" fontId="0" fillId="0" borderId="2" xfId="0" applyNumberFormat="1" applyFill="1" applyBorder="1" applyAlignment="1">
      <alignment/>
    </xf>
    <xf numFmtId="1" fontId="0" fillId="0" borderId="59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9" borderId="18" xfId="0" applyFont="1" applyFill="1" applyBorder="1" applyAlignment="1">
      <alignment horizontal="left"/>
    </xf>
    <xf numFmtId="0" fontId="0" fillId="9" borderId="8" xfId="0" applyFont="1" applyFill="1" applyBorder="1" applyAlignment="1">
      <alignment horizontal="left"/>
    </xf>
    <xf numFmtId="1" fontId="0" fillId="9" borderId="24" xfId="0" applyNumberFormat="1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7</xdr:col>
      <xdr:colOff>676275</xdr:colOff>
      <xdr:row>18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4768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57150</xdr:rowOff>
    </xdr:from>
    <xdr:to>
      <xdr:col>7</xdr:col>
      <xdr:colOff>676275</xdr:colOff>
      <xdr:row>42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95650"/>
          <a:ext cx="54768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7</xdr:col>
      <xdr:colOff>676275</xdr:colOff>
      <xdr:row>63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24700"/>
          <a:ext cx="54768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7</xdr:col>
      <xdr:colOff>647700</xdr:colOff>
      <xdr:row>83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525125"/>
          <a:ext cx="54483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tabSelected="1" workbookViewId="0" topLeftCell="A1">
      <selection activeCell="G57" sqref="G57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5.875" style="0" customWidth="1"/>
    <col min="4" max="4" width="5.625" style="0" customWidth="1"/>
    <col min="5" max="5" width="6.00390625" style="0" customWidth="1"/>
    <col min="6" max="6" width="5.75390625" style="135" customWidth="1"/>
    <col min="7" max="7" width="8.25390625" style="0" customWidth="1"/>
    <col min="9" max="9" width="7.00390625" style="0" customWidth="1"/>
    <col min="10" max="10" width="11.375" style="0" customWidth="1"/>
    <col min="11" max="11" width="7.625" style="0" customWidth="1"/>
    <col min="12" max="12" width="7.25390625" style="0" customWidth="1"/>
    <col min="13" max="13" width="5.875" style="0" customWidth="1"/>
    <col min="14" max="15" width="6.125" style="0" customWidth="1"/>
    <col min="16" max="16" width="6.625" style="0" customWidth="1"/>
    <col min="17" max="17" width="5.625" style="0" customWidth="1"/>
    <col min="18" max="18" width="6.25390625" style="0" customWidth="1"/>
    <col min="19" max="19" width="5.25390625" style="0" customWidth="1"/>
  </cols>
  <sheetData>
    <row r="1" spans="2:7" ht="12.75">
      <c r="B1" t="s">
        <v>12</v>
      </c>
      <c r="E1">
        <v>3</v>
      </c>
      <c r="F1" s="135" t="s">
        <v>13</v>
      </c>
      <c r="G1">
        <f>(D4/1000-0.005)*E1</f>
        <v>2.145</v>
      </c>
    </row>
    <row r="2" spans="2:7" ht="13.5" thickBot="1">
      <c r="B2" s="23" t="s">
        <v>14</v>
      </c>
      <c r="C2" s="23"/>
      <c r="D2" s="23"/>
      <c r="E2" s="23">
        <v>2.75</v>
      </c>
      <c r="F2" s="23"/>
      <c r="G2" s="23">
        <f>(500/1000)*E2</f>
        <v>1.375</v>
      </c>
    </row>
    <row r="3" spans="4:12" ht="18.75" thickBot="1">
      <c r="D3" s="52" t="s">
        <v>28</v>
      </c>
      <c r="E3" s="48"/>
      <c r="F3"/>
      <c r="G3" s="24">
        <f>SUM(G1:G2)</f>
        <v>3.52</v>
      </c>
      <c r="H3" s="24">
        <f>G3*180</f>
        <v>633.6</v>
      </c>
      <c r="I3" t="s">
        <v>15</v>
      </c>
      <c r="K3" s="52" t="s">
        <v>65</v>
      </c>
      <c r="L3" s="48"/>
    </row>
    <row r="4" spans="2:10" ht="13.5" thickBot="1">
      <c r="B4" s="21" t="s">
        <v>11</v>
      </c>
      <c r="C4" s="19" t="s">
        <v>6</v>
      </c>
      <c r="D4" s="20">
        <v>720</v>
      </c>
      <c r="E4" s="14" t="s">
        <v>8</v>
      </c>
      <c r="F4" s="15">
        <v>550</v>
      </c>
      <c r="J4" s="62"/>
    </row>
    <row r="5" spans="1:6" ht="13.5" thickBot="1">
      <c r="A5" t="s">
        <v>106</v>
      </c>
      <c r="D5" s="39" t="s">
        <v>9</v>
      </c>
      <c r="E5" s="104" t="s">
        <v>10</v>
      </c>
      <c r="F5" s="152"/>
    </row>
    <row r="6" spans="2:11" ht="13.5" thickBot="1">
      <c r="B6" s="10" t="s">
        <v>6</v>
      </c>
      <c r="C6" s="11">
        <f>D4</f>
        <v>720</v>
      </c>
      <c r="D6" s="14" t="s">
        <v>8</v>
      </c>
      <c r="E6" s="15">
        <f>F4</f>
        <v>550</v>
      </c>
      <c r="F6" s="12" t="s">
        <v>7</v>
      </c>
      <c r="G6" s="13">
        <v>1000</v>
      </c>
      <c r="K6" s="64" t="s">
        <v>169</v>
      </c>
    </row>
    <row r="7" spans="2:15" ht="13.5" thickBot="1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3" t="s">
        <v>5</v>
      </c>
      <c r="J7" s="1" t="s">
        <v>0</v>
      </c>
      <c r="K7" s="2" t="s">
        <v>1</v>
      </c>
      <c r="L7" s="2" t="s">
        <v>2</v>
      </c>
      <c r="M7" s="2" t="s">
        <v>3</v>
      </c>
      <c r="N7" s="2" t="s">
        <v>4</v>
      </c>
      <c r="O7" s="3" t="s">
        <v>5</v>
      </c>
    </row>
    <row r="8" spans="1:16" ht="12.75">
      <c r="A8">
        <v>1</v>
      </c>
      <c r="B8" s="56">
        <v>1</v>
      </c>
      <c r="C8" s="53">
        <f>C6-16</f>
        <v>704</v>
      </c>
      <c r="D8" s="32">
        <f>E6</f>
        <v>550</v>
      </c>
      <c r="E8" s="18">
        <f aca="true" t="shared" si="0" ref="E8:E14">C8*D8/1000000</f>
        <v>0.3872</v>
      </c>
      <c r="F8" s="80">
        <v>2</v>
      </c>
      <c r="G8" s="34">
        <f aca="true" t="shared" si="1" ref="G8:G14">E8*F8</f>
        <v>0.7744</v>
      </c>
      <c r="H8" t="s">
        <v>18</v>
      </c>
      <c r="J8" s="264">
        <v>1</v>
      </c>
      <c r="K8" s="65">
        <v>570</v>
      </c>
      <c r="L8" s="65">
        <v>496</v>
      </c>
      <c r="M8" s="65">
        <f>K8*L8/1000000</f>
        <v>0.28272</v>
      </c>
      <c r="N8" s="65">
        <v>2</v>
      </c>
      <c r="O8" s="145">
        <f>M8*N8</f>
        <v>0.56544</v>
      </c>
      <c r="P8" t="s">
        <v>117</v>
      </c>
    </row>
    <row r="9" spans="1:16" ht="13.5" thickBot="1">
      <c r="A9">
        <v>2</v>
      </c>
      <c r="B9" s="5">
        <v>2</v>
      </c>
      <c r="C9" s="54">
        <f>G6</f>
        <v>1000</v>
      </c>
      <c r="D9" s="16">
        <f>E6</f>
        <v>550</v>
      </c>
      <c r="E9" s="6">
        <f t="shared" si="0"/>
        <v>0.55</v>
      </c>
      <c r="F9" s="81">
        <v>1</v>
      </c>
      <c r="G9" s="8">
        <f t="shared" si="1"/>
        <v>0.55</v>
      </c>
      <c r="H9" t="s">
        <v>63</v>
      </c>
      <c r="J9" s="265">
        <v>2</v>
      </c>
      <c r="K9" s="23">
        <v>140</v>
      </c>
      <c r="L9" s="23">
        <v>496</v>
      </c>
      <c r="M9" s="23">
        <f>K9*L9/1000000</f>
        <v>0.06944</v>
      </c>
      <c r="N9" s="23">
        <v>2</v>
      </c>
      <c r="O9" s="146">
        <f>M9*N9</f>
        <v>0.13888</v>
      </c>
      <c r="P9" t="s">
        <v>118</v>
      </c>
    </row>
    <row r="10" spans="1:15" ht="13.5" thickBot="1">
      <c r="A10">
        <v>3</v>
      </c>
      <c r="B10" s="5">
        <v>3</v>
      </c>
      <c r="C10" s="54">
        <f>G6-16-16</f>
        <v>968</v>
      </c>
      <c r="D10" s="16">
        <f>E6</f>
        <v>550</v>
      </c>
      <c r="E10" s="6">
        <f t="shared" si="0"/>
        <v>0.5324</v>
      </c>
      <c r="F10" s="81">
        <v>1</v>
      </c>
      <c r="G10" s="8">
        <f t="shared" si="1"/>
        <v>0.5324</v>
      </c>
      <c r="H10" t="s">
        <v>62</v>
      </c>
      <c r="N10" s="24">
        <f>SUM(N8:N9)</f>
        <v>4</v>
      </c>
      <c r="O10" s="24">
        <f>SUM(O8:O9)</f>
        <v>0.7043200000000001</v>
      </c>
    </row>
    <row r="11" spans="1:12" ht="13.5" thickBot="1">
      <c r="A11">
        <v>4</v>
      </c>
      <c r="B11" s="5">
        <v>4</v>
      </c>
      <c r="C11" s="17">
        <f>C9-16-16</f>
        <v>968</v>
      </c>
      <c r="D11" s="6">
        <v>80</v>
      </c>
      <c r="E11" s="6">
        <f t="shared" si="0"/>
        <v>0.07744</v>
      </c>
      <c r="F11" s="81">
        <v>3</v>
      </c>
      <c r="G11" s="8">
        <f t="shared" si="1"/>
        <v>0.23231999999999997</v>
      </c>
      <c r="H11" t="s">
        <v>64</v>
      </c>
      <c r="K11" s="158" t="s">
        <v>51</v>
      </c>
      <c r="L11" s="159">
        <f>C8+C8+C9+C10+C11+C12+D12+C13*2+C14*2</f>
        <v>6880</v>
      </c>
    </row>
    <row r="12" spans="1:8" ht="12.75">
      <c r="A12">
        <v>66</v>
      </c>
      <c r="B12" s="5">
        <v>5</v>
      </c>
      <c r="C12" s="16">
        <f>F4</f>
        <v>550</v>
      </c>
      <c r="D12" s="6">
        <v>150</v>
      </c>
      <c r="E12" s="6">
        <f t="shared" si="0"/>
        <v>0.0825</v>
      </c>
      <c r="F12" s="81">
        <v>1</v>
      </c>
      <c r="G12" s="8">
        <f t="shared" si="1"/>
        <v>0.0825</v>
      </c>
      <c r="H12" t="s">
        <v>112</v>
      </c>
    </row>
    <row r="13" spans="1:8" ht="12.75">
      <c r="A13">
        <v>67</v>
      </c>
      <c r="B13" s="5">
        <v>6</v>
      </c>
      <c r="C13" s="17">
        <f>G6/2+8-90</f>
        <v>418</v>
      </c>
      <c r="D13" s="6">
        <v>100</v>
      </c>
      <c r="E13" s="6">
        <f t="shared" si="0"/>
        <v>0.0418</v>
      </c>
      <c r="F13" s="81">
        <v>4</v>
      </c>
      <c r="G13" s="8">
        <f t="shared" si="1"/>
        <v>0.1672</v>
      </c>
      <c r="H13" t="s">
        <v>20</v>
      </c>
    </row>
    <row r="14" spans="1:8" ht="13.5" thickBot="1">
      <c r="A14">
        <v>68</v>
      </c>
      <c r="B14" s="47">
        <v>7</v>
      </c>
      <c r="C14" s="16">
        <v>500</v>
      </c>
      <c r="D14" s="36">
        <v>100</v>
      </c>
      <c r="E14" s="36">
        <f t="shared" si="0"/>
        <v>0.05</v>
      </c>
      <c r="F14" s="105">
        <v>4</v>
      </c>
      <c r="G14" s="38">
        <f t="shared" si="1"/>
        <v>0.2</v>
      </c>
      <c r="H14" t="s">
        <v>113</v>
      </c>
    </row>
    <row r="15" spans="6:7" ht="13.5" thickBot="1">
      <c r="F15"/>
      <c r="G15" s="25">
        <f>SUM(G8:G11)</f>
        <v>2.08912</v>
      </c>
    </row>
    <row r="16" spans="1:11" ht="13.5" thickBot="1">
      <c r="A16" t="s">
        <v>106</v>
      </c>
      <c r="D16" s="39" t="s">
        <v>16</v>
      </c>
      <c r="E16" s="104" t="s">
        <v>17</v>
      </c>
      <c r="F16" s="152"/>
      <c r="K16" s="64" t="s">
        <v>54</v>
      </c>
    </row>
    <row r="17" spans="2:8" ht="13.5" thickBot="1">
      <c r="B17" s="40" t="s">
        <v>6</v>
      </c>
      <c r="C17" s="41">
        <f>D4+20</f>
        <v>740</v>
      </c>
      <c r="D17" s="42" t="s">
        <v>8</v>
      </c>
      <c r="E17" s="43">
        <f>F4</f>
        <v>550</v>
      </c>
      <c r="F17" s="44" t="s">
        <v>7</v>
      </c>
      <c r="G17" s="45">
        <v>600</v>
      </c>
      <c r="H17" t="s">
        <v>66</v>
      </c>
    </row>
    <row r="18" spans="2:15" ht="13.5" thickBot="1">
      <c r="B18" s="1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3" t="s">
        <v>5</v>
      </c>
      <c r="J18" s="83" t="s">
        <v>0</v>
      </c>
      <c r="K18" s="84" t="s">
        <v>1</v>
      </c>
      <c r="L18" s="84" t="s">
        <v>2</v>
      </c>
      <c r="M18" s="84" t="s">
        <v>3</v>
      </c>
      <c r="N18" s="84" t="s">
        <v>4</v>
      </c>
      <c r="O18" s="85" t="s">
        <v>5</v>
      </c>
    </row>
    <row r="19" spans="1:16" ht="13.5" thickBot="1">
      <c r="A19">
        <v>5</v>
      </c>
      <c r="B19" s="56">
        <v>1</v>
      </c>
      <c r="C19" s="82">
        <f>C17-16</f>
        <v>724</v>
      </c>
      <c r="D19" s="16">
        <f>E17</f>
        <v>550</v>
      </c>
      <c r="E19" s="6">
        <f aca="true" t="shared" si="2" ref="E19:E24">C19*D19/1000000</f>
        <v>0.3982</v>
      </c>
      <c r="F19" s="81">
        <v>2</v>
      </c>
      <c r="G19" s="8">
        <f aca="true" t="shared" si="3" ref="G19:G24">E19*F19</f>
        <v>0.7964</v>
      </c>
      <c r="H19" t="s">
        <v>18</v>
      </c>
      <c r="J19" s="19">
        <v>1</v>
      </c>
      <c r="K19" s="87">
        <v>140</v>
      </c>
      <c r="L19" s="87">
        <v>596</v>
      </c>
      <c r="M19" s="87">
        <f>K19*L19/1000000</f>
        <v>0.08344</v>
      </c>
      <c r="N19" s="87">
        <v>1</v>
      </c>
      <c r="O19" s="108">
        <f>M19*N19</f>
        <v>0.08344</v>
      </c>
      <c r="P19" t="s">
        <v>118</v>
      </c>
    </row>
    <row r="20" spans="1:8" ht="13.5" thickBot="1">
      <c r="A20">
        <v>6</v>
      </c>
      <c r="B20" s="89">
        <v>2</v>
      </c>
      <c r="C20" s="54">
        <f>G17/6</f>
        <v>100</v>
      </c>
      <c r="D20" s="16">
        <f>E17</f>
        <v>550</v>
      </c>
      <c r="E20" s="6">
        <f t="shared" si="2"/>
        <v>0.055</v>
      </c>
      <c r="F20" s="81">
        <v>2</v>
      </c>
      <c r="G20" s="8">
        <f t="shared" si="3"/>
        <v>0.11</v>
      </c>
      <c r="H20" t="s">
        <v>63</v>
      </c>
    </row>
    <row r="21" spans="1:12" ht="13.5" thickBot="1">
      <c r="A21">
        <v>7</v>
      </c>
      <c r="B21" s="89">
        <v>3</v>
      </c>
      <c r="C21" s="54">
        <f>G17-32</f>
        <v>568</v>
      </c>
      <c r="D21" s="16">
        <f>E17</f>
        <v>550</v>
      </c>
      <c r="E21" s="6">
        <f t="shared" si="2"/>
        <v>0.3124</v>
      </c>
      <c r="F21" s="81">
        <v>1</v>
      </c>
      <c r="G21" s="8">
        <f t="shared" si="3"/>
        <v>0.3124</v>
      </c>
      <c r="H21" t="s">
        <v>62</v>
      </c>
      <c r="K21" s="158" t="s">
        <v>51</v>
      </c>
      <c r="L21" s="159">
        <f>C19*2+D20*4+C21+C22*2+C23*2+C24</f>
        <v>6804</v>
      </c>
    </row>
    <row r="22" spans="1:8" ht="12.75">
      <c r="A22">
        <v>8</v>
      </c>
      <c r="B22" s="89">
        <v>4</v>
      </c>
      <c r="C22" s="54">
        <f>G17-90</f>
        <v>510</v>
      </c>
      <c r="D22" s="6">
        <v>100</v>
      </c>
      <c r="E22" s="6">
        <f t="shared" si="2"/>
        <v>0.051</v>
      </c>
      <c r="F22" s="81">
        <v>2</v>
      </c>
      <c r="G22" s="8">
        <f t="shared" si="3"/>
        <v>0.102</v>
      </c>
      <c r="H22" t="s">
        <v>156</v>
      </c>
    </row>
    <row r="23" spans="1:8" ht="12.75">
      <c r="A23">
        <v>9</v>
      </c>
      <c r="B23" s="89">
        <v>5</v>
      </c>
      <c r="C23" s="16">
        <f>E17-50</f>
        <v>500</v>
      </c>
      <c r="D23" s="6">
        <v>100</v>
      </c>
      <c r="E23" s="6">
        <f t="shared" si="2"/>
        <v>0.05</v>
      </c>
      <c r="F23" s="81">
        <v>2</v>
      </c>
      <c r="G23" s="8">
        <f t="shared" si="3"/>
        <v>0.1</v>
      </c>
      <c r="H23" t="s">
        <v>110</v>
      </c>
    </row>
    <row r="24" spans="1:8" ht="13.5" thickBot="1">
      <c r="A24">
        <v>10</v>
      </c>
      <c r="B24" s="90">
        <v>6</v>
      </c>
      <c r="C24" s="55">
        <f>C21</f>
        <v>568</v>
      </c>
      <c r="D24" s="88">
        <v>80</v>
      </c>
      <c r="E24" s="36">
        <f t="shared" si="2"/>
        <v>0.04544</v>
      </c>
      <c r="F24" s="105">
        <v>3</v>
      </c>
      <c r="G24" s="38">
        <f t="shared" si="3"/>
        <v>0.13632</v>
      </c>
      <c r="H24" t="s">
        <v>64</v>
      </c>
    </row>
    <row r="25" spans="2:18" ht="13.5" thickBot="1">
      <c r="B25" s="29"/>
      <c r="F25"/>
      <c r="G25" s="25">
        <f>SUM(G19:G24)</f>
        <v>1.55712</v>
      </c>
      <c r="Q25">
        <v>4</v>
      </c>
      <c r="R25">
        <v>8</v>
      </c>
    </row>
    <row r="26" spans="1:18" ht="13.5" thickBot="1">
      <c r="A26" t="s">
        <v>106</v>
      </c>
      <c r="D26" s="39" t="s">
        <v>22</v>
      </c>
      <c r="E26" s="104" t="s">
        <v>23</v>
      </c>
      <c r="F26" s="152"/>
      <c r="H26" s="26" t="s">
        <v>111</v>
      </c>
      <c r="I26" s="27"/>
      <c r="J26" s="27"/>
      <c r="K26" s="27" t="s">
        <v>21</v>
      </c>
      <c r="L26" s="165"/>
      <c r="Q26">
        <v>140</v>
      </c>
      <c r="R26">
        <v>140</v>
      </c>
    </row>
    <row r="27" spans="2:18" ht="13.5" thickBot="1">
      <c r="B27" s="40" t="s">
        <v>6</v>
      </c>
      <c r="C27" s="41">
        <f>D4</f>
        <v>720</v>
      </c>
      <c r="D27" s="42" t="s">
        <v>8</v>
      </c>
      <c r="E27" s="43">
        <v>550</v>
      </c>
      <c r="F27" s="44" t="s">
        <v>7</v>
      </c>
      <c r="G27" s="45">
        <v>500</v>
      </c>
      <c r="Q27">
        <v>2</v>
      </c>
      <c r="R27">
        <v>-30</v>
      </c>
    </row>
    <row r="28" spans="2:19" ht="13.5" thickBot="1">
      <c r="B28" s="1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3" t="s">
        <v>5</v>
      </c>
      <c r="K28" s="158" t="s">
        <v>51</v>
      </c>
      <c r="L28" s="159">
        <f>C29*2+C30+C31*8+C32*8+C30</f>
        <v>9624</v>
      </c>
      <c r="Q28">
        <v>140</v>
      </c>
      <c r="S28" s="64">
        <f>SUM(R25:R27)</f>
        <v>118</v>
      </c>
    </row>
    <row r="29" spans="1:18" ht="12.75">
      <c r="A29" s="60">
        <v>11</v>
      </c>
      <c r="B29" s="30">
        <v>1</v>
      </c>
      <c r="C29" s="31">
        <f>C27-16</f>
        <v>704</v>
      </c>
      <c r="D29" s="32">
        <f>E27</f>
        <v>550</v>
      </c>
      <c r="E29" s="18">
        <f aca="true" t="shared" si="4" ref="E29:E34">C29*D29/1000000</f>
        <v>0.3872</v>
      </c>
      <c r="F29" s="80">
        <v>2</v>
      </c>
      <c r="G29" s="34">
        <f aca="true" t="shared" si="5" ref="G29:G34">E29*F29</f>
        <v>0.7744</v>
      </c>
      <c r="H29" t="s">
        <v>18</v>
      </c>
      <c r="Q29">
        <v>2</v>
      </c>
      <c r="R29">
        <v>3</v>
      </c>
    </row>
    <row r="30" spans="1:20" ht="13.5" thickBot="1">
      <c r="A30">
        <v>12</v>
      </c>
      <c r="B30" s="106">
        <v>2</v>
      </c>
      <c r="C30" s="17">
        <f>G27-32</f>
        <v>468</v>
      </c>
      <c r="D30" s="9">
        <v>80</v>
      </c>
      <c r="E30" s="6">
        <f t="shared" si="4"/>
        <v>0.03744</v>
      </c>
      <c r="F30" s="81">
        <v>3</v>
      </c>
      <c r="G30" s="8">
        <f t="shared" si="5"/>
        <v>0.11232</v>
      </c>
      <c r="H30" t="s">
        <v>67</v>
      </c>
      <c r="L30" s="64" t="s">
        <v>170</v>
      </c>
      <c r="Q30">
        <v>140</v>
      </c>
      <c r="R30">
        <v>140</v>
      </c>
      <c r="T30">
        <f>R27</f>
        <v>-30</v>
      </c>
    </row>
    <row r="31" spans="1:19" ht="13.5" thickBot="1">
      <c r="A31">
        <v>13</v>
      </c>
      <c r="B31" s="89">
        <v>3</v>
      </c>
      <c r="C31" s="17">
        <f>G27-90</f>
        <v>410</v>
      </c>
      <c r="D31" s="6">
        <v>100</v>
      </c>
      <c r="E31" s="6">
        <f t="shared" si="4"/>
        <v>0.041</v>
      </c>
      <c r="F31" s="81">
        <v>6</v>
      </c>
      <c r="G31" s="8">
        <f t="shared" si="5"/>
        <v>0.246</v>
      </c>
      <c r="H31" t="s">
        <v>20</v>
      </c>
      <c r="J31" s="83" t="s">
        <v>0</v>
      </c>
      <c r="K31" s="84" t="s">
        <v>1</v>
      </c>
      <c r="L31" s="84" t="s">
        <v>2</v>
      </c>
      <c r="M31" s="84" t="s">
        <v>3</v>
      </c>
      <c r="N31" s="84" t="s">
        <v>4</v>
      </c>
      <c r="O31" s="85" t="s">
        <v>5</v>
      </c>
      <c r="Q31">
        <v>2</v>
      </c>
      <c r="S31" s="64">
        <f>SUM(R28:S30)</f>
        <v>261</v>
      </c>
    </row>
    <row r="32" spans="1:18" ht="12.75">
      <c r="A32">
        <v>14</v>
      </c>
      <c r="B32" s="89">
        <v>4</v>
      </c>
      <c r="C32" s="16">
        <f>E27-50</f>
        <v>500</v>
      </c>
      <c r="D32" s="6">
        <v>100</v>
      </c>
      <c r="E32" s="6">
        <f t="shared" si="4"/>
        <v>0.05</v>
      </c>
      <c r="F32" s="81">
        <v>6</v>
      </c>
      <c r="G32" s="8">
        <f t="shared" si="5"/>
        <v>0.30000000000000004</v>
      </c>
      <c r="H32" t="s">
        <v>19</v>
      </c>
      <c r="J32" s="10">
        <v>1</v>
      </c>
      <c r="K32" s="102">
        <v>140</v>
      </c>
      <c r="L32" s="102">
        <v>496</v>
      </c>
      <c r="M32" s="102">
        <f>K32*L32/1000000</f>
        <v>0.06944</v>
      </c>
      <c r="N32" s="102">
        <v>3</v>
      </c>
      <c r="O32" s="103">
        <f>M32*N32</f>
        <v>0.20832</v>
      </c>
      <c r="P32" t="s">
        <v>118</v>
      </c>
      <c r="Q32">
        <v>283</v>
      </c>
      <c r="R32">
        <v>3</v>
      </c>
    </row>
    <row r="33" spans="1:20" ht="13.5" thickBot="1">
      <c r="A33">
        <v>15</v>
      </c>
      <c r="B33" s="97">
        <v>5</v>
      </c>
      <c r="C33" s="54">
        <f>C31</f>
        <v>410</v>
      </c>
      <c r="D33" s="98">
        <v>150</v>
      </c>
      <c r="E33" s="6">
        <f t="shared" si="4"/>
        <v>0.0615</v>
      </c>
      <c r="F33" s="81">
        <v>2</v>
      </c>
      <c r="G33" s="8">
        <f t="shared" si="5"/>
        <v>0.123</v>
      </c>
      <c r="H33" t="s">
        <v>156</v>
      </c>
      <c r="J33" s="266">
        <v>2</v>
      </c>
      <c r="K33" s="99">
        <v>283</v>
      </c>
      <c r="L33" s="99">
        <v>496</v>
      </c>
      <c r="M33" s="99">
        <f>K33*L33/1000000</f>
        <v>0.140368</v>
      </c>
      <c r="N33" s="99">
        <v>1</v>
      </c>
      <c r="O33" s="100">
        <f>M33*N33</f>
        <v>0.140368</v>
      </c>
      <c r="P33" t="s">
        <v>118</v>
      </c>
      <c r="R33">
        <v>140</v>
      </c>
      <c r="T33">
        <f>R27</f>
        <v>-30</v>
      </c>
    </row>
    <row r="34" spans="1:19" ht="13.5" thickBot="1">
      <c r="A34">
        <v>16</v>
      </c>
      <c r="B34" s="91">
        <v>6</v>
      </c>
      <c r="C34" s="92">
        <f>C32</f>
        <v>500</v>
      </c>
      <c r="D34" s="93">
        <v>150</v>
      </c>
      <c r="E34" s="94">
        <f t="shared" si="4"/>
        <v>0.075</v>
      </c>
      <c r="F34" s="153">
        <v>2</v>
      </c>
      <c r="G34" s="95">
        <f t="shared" si="5"/>
        <v>0.15</v>
      </c>
      <c r="H34" t="s">
        <v>110</v>
      </c>
      <c r="N34" s="24">
        <f>SUM(N32:N33)</f>
        <v>4</v>
      </c>
      <c r="O34" s="24">
        <f>SUM(O32:O33)</f>
        <v>0.348688</v>
      </c>
      <c r="S34" s="64">
        <f>SUM(R31:S33)</f>
        <v>404</v>
      </c>
    </row>
    <row r="35" spans="2:27" ht="13.5" thickBot="1">
      <c r="B35" s="29"/>
      <c r="F35"/>
      <c r="G35" s="25">
        <f>SUM(G29:G34)</f>
        <v>1.70572</v>
      </c>
      <c r="Q35" s="72"/>
      <c r="R35">
        <v>3</v>
      </c>
      <c r="T35" s="72"/>
      <c r="U35" s="72"/>
      <c r="V35" s="72"/>
      <c r="W35" s="72"/>
      <c r="X35" s="72"/>
      <c r="Y35" s="72"/>
      <c r="Z35" s="72"/>
      <c r="AA35" s="72"/>
    </row>
    <row r="36" spans="1:27" ht="13.5" thickBot="1">
      <c r="A36" t="s">
        <v>106</v>
      </c>
      <c r="D36" s="39" t="s">
        <v>24</v>
      </c>
      <c r="E36" s="104" t="s">
        <v>116</v>
      </c>
      <c r="F36" s="28"/>
      <c r="G36" s="45" t="s">
        <v>114</v>
      </c>
      <c r="H36" s="217" t="s">
        <v>115</v>
      </c>
      <c r="K36" s="61" t="s">
        <v>171</v>
      </c>
      <c r="Q36" s="72"/>
      <c r="R36">
        <v>283</v>
      </c>
      <c r="T36" s="72">
        <f>R27</f>
        <v>-30</v>
      </c>
      <c r="U36" s="61"/>
      <c r="V36" s="72"/>
      <c r="W36" s="72"/>
      <c r="X36" s="72"/>
      <c r="Y36" s="72"/>
      <c r="Z36" s="72"/>
      <c r="AA36" s="72"/>
    </row>
    <row r="37" spans="2:27" ht="13.5" thickBot="1">
      <c r="B37" s="40" t="s">
        <v>6</v>
      </c>
      <c r="C37" s="41">
        <v>720</v>
      </c>
      <c r="D37" s="42" t="s">
        <v>8</v>
      </c>
      <c r="E37" s="43">
        <f>F4</f>
        <v>550</v>
      </c>
      <c r="F37" s="44" t="s">
        <v>7</v>
      </c>
      <c r="G37" s="45">
        <v>1000</v>
      </c>
      <c r="H37" s="217">
        <v>1000</v>
      </c>
      <c r="I37" t="s">
        <v>185</v>
      </c>
      <c r="Q37" s="72"/>
      <c r="S37" s="61">
        <f>SUM(R34:S36)</f>
        <v>690</v>
      </c>
      <c r="U37" s="188"/>
      <c r="V37" s="61"/>
      <c r="W37" s="188"/>
      <c r="X37" s="72"/>
      <c r="Y37" s="72"/>
      <c r="Z37" s="72"/>
      <c r="AA37" s="72"/>
    </row>
    <row r="38" spans="2:27" ht="13.5" thickBot="1">
      <c r="B38" s="1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3" t="s">
        <v>5</v>
      </c>
      <c r="J38" s="83" t="s">
        <v>0</v>
      </c>
      <c r="K38" s="84" t="s">
        <v>1</v>
      </c>
      <c r="L38" s="84" t="s">
        <v>2</v>
      </c>
      <c r="M38" s="84" t="s">
        <v>3</v>
      </c>
      <c r="N38" s="84" t="s">
        <v>4</v>
      </c>
      <c r="O38" s="85" t="s">
        <v>5</v>
      </c>
      <c r="Q38" s="72"/>
      <c r="R38" s="199"/>
      <c r="S38" s="199">
        <v>30</v>
      </c>
      <c r="T38" s="199"/>
      <c r="U38" s="199"/>
      <c r="V38" s="199"/>
      <c r="W38" s="199"/>
      <c r="X38" s="72"/>
      <c r="Y38" s="72"/>
      <c r="Z38" s="72"/>
      <c r="AA38" s="72"/>
    </row>
    <row r="39" spans="1:27" ht="12.75">
      <c r="A39" s="60">
        <v>17</v>
      </c>
      <c r="B39" s="138">
        <v>1</v>
      </c>
      <c r="C39" s="139">
        <f>C37-16</f>
        <v>704</v>
      </c>
      <c r="D39" s="140">
        <f>E37</f>
        <v>550</v>
      </c>
      <c r="E39" s="123">
        <f aca="true" t="shared" si="6" ref="E39:E47">C39*D39/1000000</f>
        <v>0.3872</v>
      </c>
      <c r="F39" s="141">
        <v>1</v>
      </c>
      <c r="G39" s="124">
        <f aca="true" t="shared" si="7" ref="G39:G47">E39*F39</f>
        <v>0.3872</v>
      </c>
      <c r="J39" s="10">
        <v>1</v>
      </c>
      <c r="K39" s="102">
        <v>713</v>
      </c>
      <c r="L39" s="102">
        <v>396</v>
      </c>
      <c r="M39" s="102">
        <f>K39*L39/1000000</f>
        <v>0.282348</v>
      </c>
      <c r="N39" s="102">
        <v>1</v>
      </c>
      <c r="O39" s="103">
        <f>M39*N39</f>
        <v>0.282348</v>
      </c>
      <c r="P39" t="s">
        <v>119</v>
      </c>
      <c r="R39" s="29"/>
      <c r="S39" s="118">
        <f>SUM(S37:S38)</f>
        <v>720</v>
      </c>
      <c r="T39" s="72"/>
      <c r="U39" s="72"/>
      <c r="V39" s="134"/>
      <c r="W39" s="72"/>
      <c r="X39" s="72"/>
      <c r="Y39" s="72"/>
      <c r="Z39" s="72"/>
      <c r="AA39" s="72"/>
    </row>
    <row r="40" spans="1:27" ht="13.5" thickBot="1">
      <c r="A40" s="60">
        <v>18</v>
      </c>
      <c r="B40" s="5">
        <v>2</v>
      </c>
      <c r="C40" s="218">
        <f>H37-90</f>
        <v>910</v>
      </c>
      <c r="D40" s="16">
        <f>D39</f>
        <v>550</v>
      </c>
      <c r="E40" s="6">
        <f t="shared" si="6"/>
        <v>0.5005</v>
      </c>
      <c r="F40" s="81">
        <v>1</v>
      </c>
      <c r="G40" s="8">
        <f t="shared" si="7"/>
        <v>0.5005</v>
      </c>
      <c r="J40" s="267">
        <v>2</v>
      </c>
      <c r="K40" s="70">
        <v>713</v>
      </c>
      <c r="L40" s="36">
        <v>396</v>
      </c>
      <c r="M40" s="70">
        <f>K40*L40/1000000</f>
        <v>0.282348</v>
      </c>
      <c r="N40" s="70">
        <v>1</v>
      </c>
      <c r="O40" s="71">
        <f>M40*N40</f>
        <v>0.282348</v>
      </c>
      <c r="P40" t="s">
        <v>120</v>
      </c>
      <c r="Q40" s="72"/>
      <c r="R40" s="29"/>
      <c r="S40" s="72"/>
      <c r="T40" s="72"/>
      <c r="U40" s="72"/>
      <c r="V40" s="134"/>
      <c r="W40" s="72"/>
      <c r="X40" s="72"/>
      <c r="Y40" s="72"/>
      <c r="Z40" s="72"/>
      <c r="AA40" s="72"/>
    </row>
    <row r="41" spans="1:27" ht="12.75">
      <c r="A41" s="219">
        <v>19</v>
      </c>
      <c r="B41" s="5">
        <v>3</v>
      </c>
      <c r="C41" s="16">
        <f>E37+20-90</f>
        <v>480</v>
      </c>
      <c r="D41" s="54">
        <f>G37-20-D40</f>
        <v>430</v>
      </c>
      <c r="E41" s="6">
        <f t="shared" si="6"/>
        <v>0.2064</v>
      </c>
      <c r="F41" s="81">
        <v>1</v>
      </c>
      <c r="G41" s="8">
        <f t="shared" si="7"/>
        <v>0.2064</v>
      </c>
      <c r="N41" s="147">
        <f>SUM(N39:N40)</f>
        <v>2</v>
      </c>
      <c r="O41" s="147">
        <f>SUM(O39:O40)</f>
        <v>0.564696</v>
      </c>
      <c r="Q41" s="72"/>
      <c r="R41" s="29"/>
      <c r="S41" s="72"/>
      <c r="T41" s="72"/>
      <c r="U41" s="72"/>
      <c r="V41" s="134"/>
      <c r="W41" s="72"/>
      <c r="X41" s="72"/>
      <c r="Y41" s="72"/>
      <c r="Z41" s="72"/>
      <c r="AA41" s="72"/>
    </row>
    <row r="42" spans="1:27" ht="12.75">
      <c r="A42">
        <v>20</v>
      </c>
      <c r="B42" s="5">
        <v>4</v>
      </c>
      <c r="C42" s="218">
        <f>C40-16</f>
        <v>894</v>
      </c>
      <c r="D42" s="6">
        <v>100</v>
      </c>
      <c r="E42" s="6">
        <f t="shared" si="6"/>
        <v>0.0894</v>
      </c>
      <c r="F42" s="81">
        <v>2</v>
      </c>
      <c r="G42" s="8">
        <f t="shared" si="7"/>
        <v>0.1788</v>
      </c>
      <c r="Q42" s="72"/>
      <c r="R42" s="29"/>
      <c r="S42" s="72"/>
      <c r="T42" s="72"/>
      <c r="U42" s="72"/>
      <c r="V42" s="134"/>
      <c r="W42" s="72"/>
      <c r="X42" s="72"/>
      <c r="Y42" s="72"/>
      <c r="Z42" s="72"/>
      <c r="AA42" s="72"/>
    </row>
    <row r="43" spans="1:27" ht="13.5" thickBot="1">
      <c r="A43">
        <v>21</v>
      </c>
      <c r="B43" s="5">
        <v>5</v>
      </c>
      <c r="C43" s="218">
        <f>C40-16-16</f>
        <v>878</v>
      </c>
      <c r="D43" s="6">
        <v>100</v>
      </c>
      <c r="E43" s="6">
        <f t="shared" si="6"/>
        <v>0.0878</v>
      </c>
      <c r="F43" s="81">
        <v>1</v>
      </c>
      <c r="G43" s="8">
        <f t="shared" si="7"/>
        <v>0.0878</v>
      </c>
      <c r="O43">
        <v>2.4</v>
      </c>
      <c r="Q43" s="72"/>
      <c r="R43" s="29"/>
      <c r="S43" s="72"/>
      <c r="T43" s="72"/>
      <c r="U43" s="72"/>
      <c r="V43" s="134"/>
      <c r="W43" s="72"/>
      <c r="X43" s="72"/>
      <c r="Y43" s="72"/>
      <c r="Z43" s="72"/>
      <c r="AA43" s="72"/>
    </row>
    <row r="44" spans="1:27" ht="13.5" thickBot="1">
      <c r="A44" s="219">
        <v>22</v>
      </c>
      <c r="B44" s="5">
        <v>6</v>
      </c>
      <c r="C44" s="54">
        <f>D39+D41-16-16</f>
        <v>948</v>
      </c>
      <c r="D44" s="6">
        <v>100</v>
      </c>
      <c r="E44" s="6">
        <f t="shared" si="6"/>
        <v>0.0948</v>
      </c>
      <c r="F44" s="81">
        <v>2</v>
      </c>
      <c r="G44" s="8">
        <f t="shared" si="7"/>
        <v>0.1896</v>
      </c>
      <c r="K44" s="158" t="s">
        <v>51</v>
      </c>
      <c r="L44" s="159">
        <f>C39*2+C40/2+0.5+C42*2+C43+C46*2+C48+C47</f>
        <v>6771.5</v>
      </c>
      <c r="Q44" s="72"/>
      <c r="R44" s="29"/>
      <c r="S44" s="72"/>
      <c r="T44" s="72"/>
      <c r="U44" s="72"/>
      <c r="V44" s="72"/>
      <c r="W44" s="118"/>
      <c r="X44" s="72"/>
      <c r="Y44" s="72"/>
      <c r="Z44" s="72"/>
      <c r="AA44" s="72"/>
    </row>
    <row r="45" spans="1:27" ht="12.75">
      <c r="A45">
        <v>23</v>
      </c>
      <c r="B45" s="5">
        <v>7</v>
      </c>
      <c r="C45" s="57">
        <f>C37-16</f>
        <v>704</v>
      </c>
      <c r="D45" s="6">
        <v>100</v>
      </c>
      <c r="E45" s="6">
        <f t="shared" si="6"/>
        <v>0.0704</v>
      </c>
      <c r="F45" s="81">
        <v>1</v>
      </c>
      <c r="G45" s="8">
        <f t="shared" si="7"/>
        <v>0.0704</v>
      </c>
      <c r="H45" t="s">
        <v>159</v>
      </c>
      <c r="Q45" s="72"/>
      <c r="R45" s="72"/>
      <c r="S45" s="72"/>
      <c r="T45" s="188"/>
      <c r="U45" s="61"/>
      <c r="V45" s="72"/>
      <c r="W45" s="72"/>
      <c r="X45" s="72"/>
      <c r="Y45" s="72"/>
      <c r="Z45" s="72"/>
      <c r="AA45" s="72"/>
    </row>
    <row r="46" spans="1:27" ht="12.75">
      <c r="A46">
        <v>24</v>
      </c>
      <c r="B46" s="58">
        <v>8</v>
      </c>
      <c r="C46" s="57">
        <f>C37-16-D43</f>
        <v>604</v>
      </c>
      <c r="D46" s="96">
        <v>100</v>
      </c>
      <c r="E46" s="96">
        <f t="shared" si="6"/>
        <v>0.0604</v>
      </c>
      <c r="F46" s="142">
        <v>1</v>
      </c>
      <c r="G46" s="143">
        <f t="shared" si="7"/>
        <v>0.0604</v>
      </c>
      <c r="Q46" s="72"/>
      <c r="R46" s="72"/>
      <c r="S46" s="72"/>
      <c r="T46" s="188"/>
      <c r="U46" s="61"/>
      <c r="V46" s="72"/>
      <c r="W46" s="72"/>
      <c r="X46" s="72"/>
      <c r="Y46" s="72"/>
      <c r="Z46" s="72"/>
      <c r="AA46" s="72"/>
    </row>
    <row r="47" spans="1:27" ht="12.75">
      <c r="A47">
        <v>25</v>
      </c>
      <c r="B47" s="5">
        <v>9</v>
      </c>
      <c r="C47" s="22">
        <f>C46</f>
        <v>604</v>
      </c>
      <c r="D47" s="6">
        <v>50</v>
      </c>
      <c r="E47" s="6">
        <f t="shared" si="6"/>
        <v>0.0302</v>
      </c>
      <c r="F47" s="81">
        <v>1</v>
      </c>
      <c r="G47" s="8">
        <f t="shared" si="7"/>
        <v>0.0302</v>
      </c>
      <c r="Q47" s="72"/>
      <c r="R47" s="61"/>
      <c r="S47" s="188"/>
      <c r="T47" s="61"/>
      <c r="U47" s="188"/>
      <c r="V47" s="61"/>
      <c r="W47" s="188"/>
      <c r="X47" s="72"/>
      <c r="Y47" s="72"/>
      <c r="Z47" s="72"/>
      <c r="AA47" s="72"/>
    </row>
    <row r="48" spans="1:27" ht="13.5" thickBot="1">
      <c r="A48" s="219">
        <v>64</v>
      </c>
      <c r="B48" s="114">
        <v>10</v>
      </c>
      <c r="C48" s="136">
        <f>D41</f>
        <v>430</v>
      </c>
      <c r="D48" s="94">
        <v>100</v>
      </c>
      <c r="E48" s="94">
        <f>C48*D48/1000000</f>
        <v>0.043</v>
      </c>
      <c r="F48" s="153">
        <v>1</v>
      </c>
      <c r="G48" s="95">
        <f>E48*F48</f>
        <v>0.043</v>
      </c>
      <c r="Q48" s="72"/>
      <c r="R48" s="61"/>
      <c r="S48" s="188"/>
      <c r="T48" s="61"/>
      <c r="U48" s="188"/>
      <c r="V48" s="61"/>
      <c r="W48" s="188"/>
      <c r="X48" s="72"/>
      <c r="Y48" s="72"/>
      <c r="Z48" s="72"/>
      <c r="AA48" s="72"/>
    </row>
    <row r="49" spans="6:27" ht="13.5" thickBot="1">
      <c r="F49"/>
      <c r="G49" s="25">
        <f>SUM(G39:G47)</f>
        <v>1.7113</v>
      </c>
      <c r="Q49" s="72"/>
      <c r="R49" s="199"/>
      <c r="S49" s="199"/>
      <c r="T49" s="199"/>
      <c r="U49" s="199"/>
      <c r="V49" s="199"/>
      <c r="W49" s="199"/>
      <c r="X49" s="72"/>
      <c r="Y49" s="72"/>
      <c r="Z49" s="72"/>
      <c r="AA49" s="72"/>
    </row>
    <row r="50" spans="1:27" ht="13.5" thickBot="1">
      <c r="A50" t="s">
        <v>106</v>
      </c>
      <c r="D50" s="39" t="s">
        <v>25</v>
      </c>
      <c r="E50" s="104" t="s">
        <v>194</v>
      </c>
      <c r="F50" s="152"/>
      <c r="G50" s="28"/>
      <c r="Q50" s="72"/>
      <c r="R50" s="29"/>
      <c r="S50" s="72"/>
      <c r="T50" s="72"/>
      <c r="U50" s="72"/>
      <c r="V50" s="134"/>
      <c r="W50" s="72"/>
      <c r="X50" s="72"/>
      <c r="Y50" s="72"/>
      <c r="Z50" s="72"/>
      <c r="AA50" s="72"/>
    </row>
    <row r="51" spans="2:27" ht="13.5" thickBot="1">
      <c r="B51" s="40" t="s">
        <v>6</v>
      </c>
      <c r="C51" s="41">
        <f>D4</f>
        <v>720</v>
      </c>
      <c r="D51" s="42" t="s">
        <v>8</v>
      </c>
      <c r="E51" s="43">
        <f>F4</f>
        <v>550</v>
      </c>
      <c r="F51" s="44" t="s">
        <v>7</v>
      </c>
      <c r="G51" s="45">
        <v>600</v>
      </c>
      <c r="K51" s="61" t="s">
        <v>172</v>
      </c>
      <c r="Q51" s="72"/>
      <c r="R51" s="29"/>
      <c r="S51" s="72"/>
      <c r="T51" s="72"/>
      <c r="U51" s="72"/>
      <c r="V51" s="134"/>
      <c r="W51" s="72"/>
      <c r="X51" s="72"/>
      <c r="Y51" s="72"/>
      <c r="Z51" s="72"/>
      <c r="AA51" s="72"/>
    </row>
    <row r="52" spans="2:27" ht="13.5" thickBot="1">
      <c r="B52" s="83" t="s">
        <v>0</v>
      </c>
      <c r="C52" s="84" t="s">
        <v>1</v>
      </c>
      <c r="D52" s="84" t="s">
        <v>2</v>
      </c>
      <c r="E52" s="84" t="s">
        <v>3</v>
      </c>
      <c r="F52" s="84" t="s">
        <v>4</v>
      </c>
      <c r="G52" s="85" t="s">
        <v>5</v>
      </c>
      <c r="J52" s="83" t="s">
        <v>0</v>
      </c>
      <c r="K52" s="84" t="s">
        <v>1</v>
      </c>
      <c r="L52" s="84" t="s">
        <v>2</v>
      </c>
      <c r="M52" s="84" t="s">
        <v>3</v>
      </c>
      <c r="N52" s="84" t="s">
        <v>4</v>
      </c>
      <c r="O52" s="85" t="s">
        <v>5</v>
      </c>
      <c r="Q52" s="72"/>
      <c r="R52" s="29"/>
      <c r="S52" s="72"/>
      <c r="T52" s="72"/>
      <c r="U52" s="72"/>
      <c r="V52" s="134"/>
      <c r="W52" s="72"/>
      <c r="X52" s="72"/>
      <c r="Y52" s="72"/>
      <c r="Z52" s="72"/>
      <c r="AA52" s="72"/>
    </row>
    <row r="53" spans="1:27" ht="12.75">
      <c r="A53">
        <v>26</v>
      </c>
      <c r="B53" s="56">
        <v>1</v>
      </c>
      <c r="C53" s="57">
        <f>C51-16</f>
        <v>704</v>
      </c>
      <c r="D53" s="16">
        <f>E51</f>
        <v>550</v>
      </c>
      <c r="E53" s="18">
        <f aca="true" t="shared" si="8" ref="E53:E58">C53*D53/1000000</f>
        <v>0.3872</v>
      </c>
      <c r="F53" s="80">
        <v>2</v>
      </c>
      <c r="G53" s="34">
        <f aca="true" t="shared" si="9" ref="G53:G58">E53*F53</f>
        <v>0.7744</v>
      </c>
      <c r="H53" t="s">
        <v>98</v>
      </c>
      <c r="J53" s="10">
        <v>1</v>
      </c>
      <c r="K53" s="102">
        <v>283</v>
      </c>
      <c r="L53" s="102">
        <v>596</v>
      </c>
      <c r="M53" s="102">
        <f>K53*L53/1000000</f>
        <v>0.168668</v>
      </c>
      <c r="N53" s="102">
        <v>2</v>
      </c>
      <c r="O53" s="190">
        <f>M53*N53</f>
        <v>0.337336</v>
      </c>
      <c r="P53" t="s">
        <v>119</v>
      </c>
      <c r="R53" s="29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3.5" thickBot="1">
      <c r="A54" s="219">
        <v>27</v>
      </c>
      <c r="B54" s="89">
        <v>2</v>
      </c>
      <c r="C54" s="221">
        <f>G51-16-16</f>
        <v>568</v>
      </c>
      <c r="D54" s="16">
        <v>100</v>
      </c>
      <c r="E54" s="6">
        <f t="shared" si="8"/>
        <v>0.0568</v>
      </c>
      <c r="F54" s="81">
        <v>2</v>
      </c>
      <c r="G54" s="8">
        <f t="shared" si="9"/>
        <v>0.1136</v>
      </c>
      <c r="H54" t="s">
        <v>68</v>
      </c>
      <c r="J54" s="267">
        <v>2</v>
      </c>
      <c r="K54" s="70">
        <v>140</v>
      </c>
      <c r="L54" s="70">
        <v>596</v>
      </c>
      <c r="M54" s="70">
        <f>K54*L54/1000000</f>
        <v>0.08344</v>
      </c>
      <c r="N54" s="70">
        <v>1</v>
      </c>
      <c r="O54" s="191">
        <f>M54*N54</f>
        <v>0.08344</v>
      </c>
      <c r="P54" t="s">
        <v>118</v>
      </c>
      <c r="Q54" s="72"/>
      <c r="R54" s="29"/>
      <c r="S54" s="72"/>
      <c r="T54" s="72"/>
      <c r="U54" s="72"/>
      <c r="V54" s="72"/>
      <c r="W54" s="72"/>
      <c r="X54" s="72"/>
      <c r="Y54" s="72"/>
      <c r="Z54" s="72"/>
      <c r="AA54" s="72"/>
    </row>
    <row r="55" spans="1:27" ht="13.5" thickBot="1">
      <c r="A55" s="219">
        <v>28</v>
      </c>
      <c r="B55" s="5">
        <v>3</v>
      </c>
      <c r="C55" s="16">
        <f>E51-16</f>
        <v>534</v>
      </c>
      <c r="D55" s="6">
        <v>100</v>
      </c>
      <c r="E55" s="6">
        <f t="shared" si="8"/>
        <v>0.0534</v>
      </c>
      <c r="F55" s="81">
        <v>4</v>
      </c>
      <c r="G55" s="8">
        <f t="shared" si="9"/>
        <v>0.2136</v>
      </c>
      <c r="H55" t="s">
        <v>186</v>
      </c>
      <c r="N55" s="24">
        <f>SUM(N53:N54)</f>
        <v>3</v>
      </c>
      <c r="O55" s="24">
        <f>SUM(O53:O54)</f>
        <v>0.42077600000000004</v>
      </c>
      <c r="Q55" s="72"/>
      <c r="R55" s="29"/>
      <c r="S55" s="72"/>
      <c r="T55" s="72"/>
      <c r="U55" s="72"/>
      <c r="V55" s="72"/>
      <c r="W55" s="72"/>
      <c r="X55" s="72"/>
      <c r="Y55" s="72"/>
      <c r="Z55" s="72"/>
      <c r="AA55" s="72"/>
    </row>
    <row r="56" spans="1:27" ht="13.5" thickBot="1">
      <c r="A56" s="219">
        <v>29</v>
      </c>
      <c r="B56" s="5">
        <v>4</v>
      </c>
      <c r="C56" s="221">
        <f>G51-16-16</f>
        <v>568</v>
      </c>
      <c r="D56" s="6">
        <v>100</v>
      </c>
      <c r="E56" s="6">
        <f t="shared" si="8"/>
        <v>0.0568</v>
      </c>
      <c r="F56" s="81">
        <v>3</v>
      </c>
      <c r="G56" s="8">
        <f t="shared" si="9"/>
        <v>0.1704</v>
      </c>
      <c r="H56" t="s">
        <v>193</v>
      </c>
      <c r="K56" s="158" t="s">
        <v>51</v>
      </c>
      <c r="L56" s="159">
        <f>C53*2+C54+C55+C56+C57*2+C58*2+C59*2</f>
        <v>6282</v>
      </c>
      <c r="O56" s="24"/>
      <c r="Q56" s="72"/>
      <c r="R56" s="29"/>
      <c r="S56" s="72"/>
      <c r="T56" s="72"/>
      <c r="U56" s="72"/>
      <c r="V56" s="72"/>
      <c r="W56" s="72"/>
      <c r="X56" s="72"/>
      <c r="Y56" s="72"/>
      <c r="Z56" s="72"/>
      <c r="AA56" s="72"/>
    </row>
    <row r="57" spans="1:27" ht="12.75">
      <c r="A57" s="219">
        <v>30</v>
      </c>
      <c r="B57" s="5">
        <v>5</v>
      </c>
      <c r="C57" s="6">
        <f>G51-90</f>
        <v>510</v>
      </c>
      <c r="D57" s="6">
        <v>100</v>
      </c>
      <c r="E57" s="6">
        <f t="shared" si="8"/>
        <v>0.051</v>
      </c>
      <c r="F57" s="222">
        <v>4</v>
      </c>
      <c r="G57" s="8">
        <f t="shared" si="9"/>
        <v>0.204</v>
      </c>
      <c r="H57" t="s">
        <v>162</v>
      </c>
      <c r="Q57" s="72"/>
      <c r="R57" s="72"/>
      <c r="S57" s="72"/>
      <c r="T57" s="72"/>
      <c r="U57" s="72"/>
      <c r="V57" s="72"/>
      <c r="W57" s="118"/>
      <c r="X57" s="72"/>
      <c r="Y57" s="72"/>
      <c r="Z57" s="72"/>
      <c r="AA57" s="72"/>
    </row>
    <row r="58" spans="1:27" ht="13.5" thickBot="1">
      <c r="A58" s="219">
        <v>31</v>
      </c>
      <c r="B58" s="114">
        <v>6</v>
      </c>
      <c r="C58" s="94">
        <f>E51</f>
        <v>550</v>
      </c>
      <c r="D58" s="94">
        <v>100</v>
      </c>
      <c r="E58" s="94">
        <f t="shared" si="8"/>
        <v>0.055</v>
      </c>
      <c r="F58" s="220">
        <v>2</v>
      </c>
      <c r="G58" s="95">
        <f t="shared" si="9"/>
        <v>0.11</v>
      </c>
      <c r="H58" t="s">
        <v>192</v>
      </c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2:27" ht="13.5" thickBot="1">
      <c r="B59" s="114">
        <v>7</v>
      </c>
      <c r="C59" s="94">
        <f>G51-90+16+16</f>
        <v>542</v>
      </c>
      <c r="D59" s="94">
        <v>200</v>
      </c>
      <c r="E59" s="94">
        <f>C59*D59/1000000</f>
        <v>0.1084</v>
      </c>
      <c r="F59" s="223">
        <v>2</v>
      </c>
      <c r="G59" s="95">
        <f>E59*F59</f>
        <v>0.2168</v>
      </c>
      <c r="H59" t="s">
        <v>204</v>
      </c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6:27" ht="12.75">
      <c r="F60"/>
      <c r="G60" s="25">
        <f>SUM(G53:G56)</f>
        <v>1.2719999999999998</v>
      </c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2:6" ht="13.5" thickBot="1">
      <c r="B61" s="29"/>
      <c r="F61"/>
    </row>
    <row r="62" spans="1:7" ht="13.5" thickBot="1">
      <c r="A62" t="s">
        <v>106</v>
      </c>
      <c r="D62" s="39" t="s">
        <v>26</v>
      </c>
      <c r="E62" s="104" t="s">
        <v>89</v>
      </c>
      <c r="F62" s="152"/>
      <c r="G62" s="28"/>
    </row>
    <row r="63" spans="2:11" ht="13.5" thickBot="1">
      <c r="B63" s="40" t="s">
        <v>6</v>
      </c>
      <c r="C63" s="41">
        <f>D4</f>
        <v>720</v>
      </c>
      <c r="D63" s="42" t="s">
        <v>8</v>
      </c>
      <c r="E63" s="43">
        <f>F4</f>
        <v>550</v>
      </c>
      <c r="F63" s="44" t="s">
        <v>7</v>
      </c>
      <c r="G63" s="45">
        <v>250</v>
      </c>
      <c r="K63" s="64" t="s">
        <v>173</v>
      </c>
    </row>
    <row r="64" spans="2:15" ht="13.5" thickBot="1">
      <c r="B64" s="83" t="s">
        <v>0</v>
      </c>
      <c r="C64" s="84" t="s">
        <v>1</v>
      </c>
      <c r="D64" s="84" t="s">
        <v>2</v>
      </c>
      <c r="E64" s="84" t="s">
        <v>3</v>
      </c>
      <c r="F64" s="84" t="s">
        <v>4</v>
      </c>
      <c r="G64" s="85" t="s">
        <v>5</v>
      </c>
      <c r="J64" s="83" t="s">
        <v>0</v>
      </c>
      <c r="K64" s="84" t="s">
        <v>1</v>
      </c>
      <c r="L64" s="84" t="s">
        <v>2</v>
      </c>
      <c r="M64" s="84" t="s">
        <v>3</v>
      </c>
      <c r="N64" s="84" t="s">
        <v>4</v>
      </c>
      <c r="O64" s="85" t="s">
        <v>5</v>
      </c>
    </row>
    <row r="65" spans="1:16" ht="13.5" thickBot="1">
      <c r="A65">
        <v>32</v>
      </c>
      <c r="B65" s="56">
        <v>1</v>
      </c>
      <c r="C65" s="31">
        <f>C63-16</f>
        <v>704</v>
      </c>
      <c r="D65" s="131">
        <f>G63</f>
        <v>250</v>
      </c>
      <c r="E65" s="18">
        <f>C65*D65/1000000</f>
        <v>0.176</v>
      </c>
      <c r="F65" s="80">
        <v>2</v>
      </c>
      <c r="G65" s="34">
        <f>E65*F65</f>
        <v>0.352</v>
      </c>
      <c r="H65" t="s">
        <v>98</v>
      </c>
      <c r="J65" s="19">
        <v>1</v>
      </c>
      <c r="K65" s="87">
        <v>713</v>
      </c>
      <c r="L65" s="87">
        <v>296</v>
      </c>
      <c r="M65" s="87">
        <f>K65*L65/1000000</f>
        <v>0.211048</v>
      </c>
      <c r="N65" s="87">
        <v>1</v>
      </c>
      <c r="O65" s="108">
        <f>M65*N65</f>
        <v>0.211048</v>
      </c>
      <c r="P65" t="s">
        <v>119</v>
      </c>
    </row>
    <row r="66" spans="1:8" ht="13.5" thickBot="1">
      <c r="A66">
        <v>33</v>
      </c>
      <c r="B66" s="89">
        <v>2</v>
      </c>
      <c r="C66" s="126">
        <f>E63</f>
        <v>550</v>
      </c>
      <c r="D66" s="17">
        <f>G63</f>
        <v>250</v>
      </c>
      <c r="E66" s="6">
        <f>C66*D66/1000000</f>
        <v>0.1375</v>
      </c>
      <c r="F66" s="81">
        <v>1</v>
      </c>
      <c r="G66" s="8">
        <f>E66*F66</f>
        <v>0.1375</v>
      </c>
      <c r="H66" t="s">
        <v>68</v>
      </c>
    </row>
    <row r="67" spans="1:12" ht="13.5" thickBot="1">
      <c r="A67">
        <v>34</v>
      </c>
      <c r="B67" s="5">
        <v>3</v>
      </c>
      <c r="C67" s="126">
        <f>300-16-16</f>
        <v>268</v>
      </c>
      <c r="D67" s="17">
        <f>G63</f>
        <v>250</v>
      </c>
      <c r="E67" s="6">
        <f>C67*D67/1000000</f>
        <v>0.067</v>
      </c>
      <c r="F67" s="81">
        <v>2</v>
      </c>
      <c r="G67" s="8">
        <f>E67*F67</f>
        <v>0.134</v>
      </c>
      <c r="H67" s="137" t="s">
        <v>99</v>
      </c>
      <c r="K67" s="158" t="s">
        <v>51</v>
      </c>
      <c r="L67" s="159">
        <f>C65*2+C66+C67*2+C69*3</f>
        <v>3298</v>
      </c>
    </row>
    <row r="68" spans="1:8" ht="12.75">
      <c r="A68">
        <v>35</v>
      </c>
      <c r="B68" s="5">
        <v>4</v>
      </c>
      <c r="C68" s="126">
        <f>E63-300</f>
        <v>250</v>
      </c>
      <c r="D68" s="17">
        <f>G63</f>
        <v>250</v>
      </c>
      <c r="E68" s="6">
        <f>C68*D68/1000000</f>
        <v>0.0625</v>
      </c>
      <c r="F68" s="81">
        <v>2</v>
      </c>
      <c r="G68" s="8">
        <f>E68*F68</f>
        <v>0.125</v>
      </c>
      <c r="H68" t="s">
        <v>100</v>
      </c>
    </row>
    <row r="69" spans="1:8" ht="13.5" thickBot="1">
      <c r="A69">
        <v>36</v>
      </c>
      <c r="B69" s="47">
        <v>5</v>
      </c>
      <c r="C69" s="132">
        <f>C67</f>
        <v>268</v>
      </c>
      <c r="D69" s="112">
        <v>40</v>
      </c>
      <c r="E69" s="36">
        <f>C69*D69/1000000</f>
        <v>0.01072</v>
      </c>
      <c r="F69" s="105">
        <v>3</v>
      </c>
      <c r="G69" s="38">
        <f>E69*F69</f>
        <v>0.03216</v>
      </c>
      <c r="H69" t="s">
        <v>109</v>
      </c>
    </row>
    <row r="70" spans="2:15" ht="13.5" thickBot="1">
      <c r="B70" s="29" t="s">
        <v>106</v>
      </c>
      <c r="F70"/>
      <c r="G70" s="25">
        <f>SUM(G65:G69)</f>
        <v>0.7806599999999999</v>
      </c>
      <c r="L70" s="49" t="s">
        <v>69</v>
      </c>
      <c r="M70" s="50"/>
      <c r="N70" s="50"/>
      <c r="O70" s="51">
        <f>O10+O19+O34+O41+O55+O65</f>
        <v>2.332968</v>
      </c>
    </row>
    <row r="71" spans="2:15" ht="13.5" thickBot="1">
      <c r="B71" s="29" t="s">
        <v>106</v>
      </c>
      <c r="D71" s="49" t="s">
        <v>27</v>
      </c>
      <c r="E71" s="50"/>
      <c r="F71" s="50"/>
      <c r="G71" s="51">
        <f>G15+G25+G35+G49+G60+G70</f>
        <v>9.11592</v>
      </c>
      <c r="L71" s="49" t="s">
        <v>167</v>
      </c>
      <c r="M71" s="50"/>
      <c r="N71" s="50"/>
      <c r="O71" s="51">
        <f>N10+N19+N34+N41+N55+N65</f>
        <v>15</v>
      </c>
    </row>
    <row r="72" spans="2:11" ht="13.5" thickBot="1">
      <c r="B72" s="29" t="s">
        <v>106</v>
      </c>
      <c r="D72" s="61"/>
      <c r="E72" s="61"/>
      <c r="F72" s="61"/>
      <c r="G72" s="61"/>
      <c r="J72" s="64"/>
      <c r="K72" s="64" t="s">
        <v>174</v>
      </c>
    </row>
    <row r="73" spans="2:15" ht="13.5" thickBot="1">
      <c r="B73" s="29" t="s">
        <v>106</v>
      </c>
      <c r="D73" s="61"/>
      <c r="E73" s="61"/>
      <c r="F73" s="61"/>
      <c r="G73" s="61"/>
      <c r="J73" s="83" t="s">
        <v>0</v>
      </c>
      <c r="K73" s="84" t="s">
        <v>1</v>
      </c>
      <c r="L73" s="84" t="s">
        <v>2</v>
      </c>
      <c r="M73" s="84" t="s">
        <v>3</v>
      </c>
      <c r="N73" s="84" t="s">
        <v>4</v>
      </c>
      <c r="O73" s="85" t="s">
        <v>5</v>
      </c>
    </row>
    <row r="74" spans="2:16" ht="13.5" thickBot="1">
      <c r="B74" s="29" t="s">
        <v>106</v>
      </c>
      <c r="C74" s="60"/>
      <c r="D74" s="61"/>
      <c r="E74" s="61"/>
      <c r="F74" s="61"/>
      <c r="G74" s="61"/>
      <c r="H74" s="60"/>
      <c r="I74" s="60"/>
      <c r="J74" s="19">
        <v>1</v>
      </c>
      <c r="K74" s="87">
        <v>713</v>
      </c>
      <c r="L74" s="87">
        <v>296</v>
      </c>
      <c r="M74" s="87">
        <f>K74*L74/1000000</f>
        <v>0.211048</v>
      </c>
      <c r="N74" s="87">
        <v>4</v>
      </c>
      <c r="O74" s="108">
        <f>M74*N74</f>
        <v>0.844192</v>
      </c>
      <c r="P74" t="s">
        <v>117</v>
      </c>
    </row>
    <row r="75" spans="2:6" ht="18.75" thickBot="1">
      <c r="B75" s="29" t="s">
        <v>106</v>
      </c>
      <c r="D75" s="52" t="s">
        <v>29</v>
      </c>
      <c r="E75" s="48"/>
      <c r="F75" s="48"/>
    </row>
    <row r="76" spans="2:6" ht="13.5" thickBot="1">
      <c r="B76" s="21" t="s">
        <v>11</v>
      </c>
      <c r="C76" s="19" t="s">
        <v>6</v>
      </c>
      <c r="D76" s="20">
        <v>713</v>
      </c>
      <c r="E76" s="177" t="s">
        <v>8</v>
      </c>
      <c r="F76" s="178">
        <v>290</v>
      </c>
    </row>
    <row r="77" spans="1:11" ht="13.5" thickBot="1">
      <c r="A77" t="s">
        <v>106</v>
      </c>
      <c r="B77" s="29" t="s">
        <v>106</v>
      </c>
      <c r="C77" s="115" t="s">
        <v>82</v>
      </c>
      <c r="D77" s="39" t="s">
        <v>33</v>
      </c>
      <c r="E77" s="104" t="s">
        <v>32</v>
      </c>
      <c r="F77" s="28"/>
      <c r="G77" s="28"/>
      <c r="J77" s="158" t="s">
        <v>51</v>
      </c>
      <c r="K77" s="159">
        <f>C81*4+C82*8</f>
        <v>7396</v>
      </c>
    </row>
    <row r="78" spans="2:13" ht="13.5" thickBot="1">
      <c r="B78" s="10" t="s">
        <v>6</v>
      </c>
      <c r="C78" s="11">
        <f>$D$76</f>
        <v>713</v>
      </c>
      <c r="D78" s="14" t="s">
        <v>8</v>
      </c>
      <c r="E78" s="15">
        <v>290</v>
      </c>
      <c r="F78" s="12" t="s">
        <v>7</v>
      </c>
      <c r="G78" s="13">
        <v>600</v>
      </c>
      <c r="J78" s="64" t="s">
        <v>71</v>
      </c>
      <c r="K78" t="s">
        <v>38</v>
      </c>
      <c r="M78" s="64" t="s">
        <v>175</v>
      </c>
    </row>
    <row r="79" spans="2:15" ht="13.5" thickBot="1">
      <c r="B79" s="1" t="s">
        <v>0</v>
      </c>
      <c r="C79" s="2" t="s">
        <v>1</v>
      </c>
      <c r="D79" s="2" t="s">
        <v>2</v>
      </c>
      <c r="E79" s="2" t="s">
        <v>3</v>
      </c>
      <c r="F79" s="2" t="s">
        <v>4</v>
      </c>
      <c r="G79" s="3" t="s">
        <v>5</v>
      </c>
      <c r="J79" s="83" t="s">
        <v>0</v>
      </c>
      <c r="K79" s="84" t="s">
        <v>1</v>
      </c>
      <c r="L79" s="84" t="s">
        <v>2</v>
      </c>
      <c r="M79" s="84" t="s">
        <v>3</v>
      </c>
      <c r="N79" s="84" t="s">
        <v>4</v>
      </c>
      <c r="O79" s="85" t="s">
        <v>5</v>
      </c>
    </row>
    <row r="80" spans="1:16" ht="13.5" thickBot="1">
      <c r="A80" s="60"/>
      <c r="B80" s="56"/>
      <c r="C80" s="31"/>
      <c r="D80" s="113"/>
      <c r="E80" s="18"/>
      <c r="F80" s="80"/>
      <c r="G80" s="34"/>
      <c r="J80" s="19">
        <v>1</v>
      </c>
      <c r="K80" s="87">
        <v>900</v>
      </c>
      <c r="L80" s="87">
        <v>396</v>
      </c>
      <c r="M80" s="87">
        <f>K80*L80/1000000</f>
        <v>0.3564</v>
      </c>
      <c r="N80" s="87">
        <v>1</v>
      </c>
      <c r="O80" s="108">
        <f>M80*N80</f>
        <v>0.3564</v>
      </c>
      <c r="P80" t="s">
        <v>120</v>
      </c>
    </row>
    <row r="81" spans="1:13" ht="13.5" thickBot="1">
      <c r="A81">
        <v>37</v>
      </c>
      <c r="B81" s="5">
        <v>1</v>
      </c>
      <c r="C81" s="57">
        <f>D76</f>
        <v>713</v>
      </c>
      <c r="D81" s="16">
        <f>F76</f>
        <v>290</v>
      </c>
      <c r="E81" s="6">
        <f>C81*D81/1000000</f>
        <v>0.20677</v>
      </c>
      <c r="F81" s="81">
        <v>4</v>
      </c>
      <c r="G81" s="8">
        <f>E81*F81</f>
        <v>0.82708</v>
      </c>
      <c r="H81" t="s">
        <v>30</v>
      </c>
      <c r="J81" s="109" t="s">
        <v>70</v>
      </c>
      <c r="K81" t="s">
        <v>161</v>
      </c>
      <c r="M81" s="64" t="s">
        <v>176</v>
      </c>
    </row>
    <row r="82" spans="1:15" ht="13.5" thickBot="1">
      <c r="A82">
        <v>38</v>
      </c>
      <c r="B82" s="5">
        <v>2</v>
      </c>
      <c r="C82" s="54">
        <f>G78-16-16</f>
        <v>568</v>
      </c>
      <c r="D82" s="16">
        <f>E78</f>
        <v>290</v>
      </c>
      <c r="E82" s="6">
        <f>C82*D82/1000000</f>
        <v>0.16472</v>
      </c>
      <c r="F82" s="81">
        <v>8</v>
      </c>
      <c r="G82" s="8">
        <f>E82*F82</f>
        <v>1.31776</v>
      </c>
      <c r="H82" t="s">
        <v>31</v>
      </c>
      <c r="J82" s="83" t="s">
        <v>0</v>
      </c>
      <c r="K82" s="84" t="s">
        <v>1</v>
      </c>
      <c r="L82" s="84" t="s">
        <v>2</v>
      </c>
      <c r="M82" s="84" t="s">
        <v>3</v>
      </c>
      <c r="N82" s="84" t="s">
        <v>4</v>
      </c>
      <c r="O82" s="85" t="s">
        <v>5</v>
      </c>
    </row>
    <row r="83" spans="2:16" ht="13.5" thickBot="1">
      <c r="B83" s="47"/>
      <c r="C83" s="112"/>
      <c r="D83" s="36"/>
      <c r="E83" s="36"/>
      <c r="F83" s="105"/>
      <c r="G83" s="38"/>
      <c r="J83" s="19">
        <v>1</v>
      </c>
      <c r="K83" s="87">
        <v>713</v>
      </c>
      <c r="L83" s="87">
        <v>396</v>
      </c>
      <c r="M83" s="87">
        <f>K83*L83/1000000</f>
        <v>0.282348</v>
      </c>
      <c r="N83" s="87">
        <v>2</v>
      </c>
      <c r="O83" s="108">
        <f>M83*N83</f>
        <v>0.564696</v>
      </c>
      <c r="P83" t="s">
        <v>117</v>
      </c>
    </row>
    <row r="84" spans="6:11" ht="13.5" thickBot="1">
      <c r="F84"/>
      <c r="G84" s="25">
        <f>SUM(G80:G82)</f>
        <v>2.1448400000000003</v>
      </c>
      <c r="J84" s="158" t="s">
        <v>51</v>
      </c>
      <c r="K84" s="159">
        <f>C88*2+C89*2</f>
        <v>2136</v>
      </c>
    </row>
    <row r="85" spans="1:13" ht="13.5" thickBot="1">
      <c r="A85" t="s">
        <v>106</v>
      </c>
      <c r="D85" s="39" t="s">
        <v>37</v>
      </c>
      <c r="E85" s="104" t="s">
        <v>79</v>
      </c>
      <c r="F85" s="28"/>
      <c r="G85" s="28"/>
      <c r="H85" t="s">
        <v>155</v>
      </c>
      <c r="J85" s="110" t="s">
        <v>72</v>
      </c>
      <c r="K85" t="s">
        <v>37</v>
      </c>
      <c r="L85" t="s">
        <v>154</v>
      </c>
      <c r="M85" s="64" t="s">
        <v>59</v>
      </c>
    </row>
    <row r="86" spans="2:15" ht="13.5" thickBot="1">
      <c r="B86" s="10" t="s">
        <v>6</v>
      </c>
      <c r="C86" s="11">
        <f>$D$76</f>
        <v>713</v>
      </c>
      <c r="D86" s="14" t="s">
        <v>8</v>
      </c>
      <c r="E86" s="15">
        <f>$F$76</f>
        <v>290</v>
      </c>
      <c r="F86" s="12" t="s">
        <v>7</v>
      </c>
      <c r="G86" s="13">
        <f>G17</f>
        <v>600</v>
      </c>
      <c r="J86" s="83" t="s">
        <v>0</v>
      </c>
      <c r="K86" s="84" t="s">
        <v>1</v>
      </c>
      <c r="L86" s="84" t="s">
        <v>2</v>
      </c>
      <c r="M86" s="84" t="s">
        <v>3</v>
      </c>
      <c r="N86" s="84" t="s">
        <v>4</v>
      </c>
      <c r="O86" s="85" t="s">
        <v>5</v>
      </c>
    </row>
    <row r="87" spans="2:16" ht="13.5" thickBot="1">
      <c r="B87" s="1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3" t="s">
        <v>5</v>
      </c>
      <c r="I87" s="179" t="s">
        <v>154</v>
      </c>
      <c r="J87" s="19">
        <v>1</v>
      </c>
      <c r="K87" s="87">
        <v>396</v>
      </c>
      <c r="L87" s="87">
        <v>596</v>
      </c>
      <c r="M87" s="87">
        <f>K87*L87/1000000</f>
        <v>0.236016</v>
      </c>
      <c r="N87" s="87">
        <v>1</v>
      </c>
      <c r="O87" s="108">
        <f>M87*N87</f>
        <v>0.236016</v>
      </c>
      <c r="P87" t="s">
        <v>226</v>
      </c>
    </row>
    <row r="88" spans="1:8" ht="12.75">
      <c r="A88">
        <v>39</v>
      </c>
      <c r="B88" s="56">
        <v>1</v>
      </c>
      <c r="C88" s="53">
        <f>C86-213</f>
        <v>500</v>
      </c>
      <c r="D88" s="32">
        <f>E86</f>
        <v>290</v>
      </c>
      <c r="E88" s="18">
        <f>C88*D88/1000000</f>
        <v>0.145</v>
      </c>
      <c r="F88" s="80">
        <v>2</v>
      </c>
      <c r="G88" s="34">
        <f>E88*F88</f>
        <v>0.29</v>
      </c>
      <c r="H88" t="s">
        <v>30</v>
      </c>
    </row>
    <row r="89" spans="1:10" ht="13.5" thickBot="1">
      <c r="A89">
        <v>40</v>
      </c>
      <c r="B89" s="47">
        <v>2</v>
      </c>
      <c r="C89" s="55">
        <f>G86-16-16</f>
        <v>568</v>
      </c>
      <c r="D89" s="35">
        <f>E86</f>
        <v>290</v>
      </c>
      <c r="E89" s="36">
        <f>C89*D89/1000000</f>
        <v>0.16472</v>
      </c>
      <c r="F89" s="105">
        <v>2</v>
      </c>
      <c r="G89" s="38">
        <f>E89*F89</f>
        <v>0.32944</v>
      </c>
      <c r="H89" t="s">
        <v>157</v>
      </c>
      <c r="J89" s="59" t="s">
        <v>36</v>
      </c>
    </row>
    <row r="90" spans="6:7" ht="13.5" thickBot="1">
      <c r="F90"/>
      <c r="G90" s="25">
        <f>SUM(G88:G89)</f>
        <v>0.61944</v>
      </c>
    </row>
    <row r="91" spans="1:13" ht="13.5" thickBot="1">
      <c r="A91" t="s">
        <v>106</v>
      </c>
      <c r="C91" s="115" t="s">
        <v>82</v>
      </c>
      <c r="D91" s="39" t="s">
        <v>35</v>
      </c>
      <c r="E91" s="104" t="s">
        <v>80</v>
      </c>
      <c r="F91" s="28"/>
      <c r="G91" s="28"/>
      <c r="J91" t="s">
        <v>73</v>
      </c>
      <c r="K91" t="s">
        <v>41</v>
      </c>
      <c r="M91" s="64" t="s">
        <v>40</v>
      </c>
    </row>
    <row r="92" spans="2:15" ht="13.5" thickBot="1">
      <c r="B92" s="10" t="s">
        <v>6</v>
      </c>
      <c r="C92" s="11">
        <f>$D$76</f>
        <v>713</v>
      </c>
      <c r="D92" s="14" t="s">
        <v>8</v>
      </c>
      <c r="E92" s="15">
        <f>$F$76</f>
        <v>290</v>
      </c>
      <c r="F92" s="12" t="s">
        <v>7</v>
      </c>
      <c r="G92" s="13">
        <v>400</v>
      </c>
      <c r="J92" s="83" t="s">
        <v>0</v>
      </c>
      <c r="K92" s="84" t="s">
        <v>1</v>
      </c>
      <c r="L92" s="84" t="s">
        <v>2</v>
      </c>
      <c r="M92" s="84" t="s">
        <v>3</v>
      </c>
      <c r="N92" s="84" t="s">
        <v>4</v>
      </c>
      <c r="O92" s="85" t="s">
        <v>5</v>
      </c>
    </row>
    <row r="93" spans="2:16" ht="13.5" thickBot="1">
      <c r="B93" s="1" t="s">
        <v>0</v>
      </c>
      <c r="C93" s="2" t="s">
        <v>1</v>
      </c>
      <c r="D93" s="2" t="s">
        <v>2</v>
      </c>
      <c r="E93" s="2" t="s">
        <v>3</v>
      </c>
      <c r="F93" s="2" t="s">
        <v>4</v>
      </c>
      <c r="G93" s="3" t="s">
        <v>5</v>
      </c>
      <c r="I93" s="179" t="s">
        <v>154</v>
      </c>
      <c r="J93" s="19">
        <v>1</v>
      </c>
      <c r="K93" s="87">
        <v>396</v>
      </c>
      <c r="L93" s="87">
        <v>596</v>
      </c>
      <c r="M93" s="87">
        <f>K93*L93/1000000</f>
        <v>0.236016</v>
      </c>
      <c r="N93" s="87">
        <v>1</v>
      </c>
      <c r="O93" s="108">
        <f>M93*N93</f>
        <v>0.236016</v>
      </c>
      <c r="P93" t="s">
        <v>226</v>
      </c>
    </row>
    <row r="94" spans="1:11" ht="13.5" thickBot="1">
      <c r="A94">
        <v>41</v>
      </c>
      <c r="B94" s="56">
        <v>1</v>
      </c>
      <c r="C94" s="53">
        <f>C92</f>
        <v>713</v>
      </c>
      <c r="D94" s="32">
        <f>E92</f>
        <v>290</v>
      </c>
      <c r="E94" s="18">
        <f>C94*D94/1000000</f>
        <v>0.20677</v>
      </c>
      <c r="F94" s="80">
        <v>4</v>
      </c>
      <c r="G94" s="34">
        <f>E94*F94</f>
        <v>0.82708</v>
      </c>
      <c r="H94" t="s">
        <v>30</v>
      </c>
      <c r="J94" s="158" t="s">
        <v>51</v>
      </c>
      <c r="K94" s="159">
        <f>C94*4+C95*8</f>
        <v>5796</v>
      </c>
    </row>
    <row r="95" spans="1:8" ht="13.5" thickBot="1">
      <c r="A95">
        <v>42</v>
      </c>
      <c r="B95" s="47">
        <v>2</v>
      </c>
      <c r="C95" s="55">
        <f>G92-16-16</f>
        <v>368</v>
      </c>
      <c r="D95" s="35">
        <f>E92</f>
        <v>290</v>
      </c>
      <c r="E95" s="36">
        <f>C95*D95/1000000</f>
        <v>0.10672</v>
      </c>
      <c r="F95" s="105">
        <v>8</v>
      </c>
      <c r="G95" s="38">
        <f>E95*F95</f>
        <v>0.85376</v>
      </c>
      <c r="H95" t="s">
        <v>31</v>
      </c>
    </row>
    <row r="96" spans="6:15" ht="13.5" thickBot="1">
      <c r="F96"/>
      <c r="G96" s="25">
        <f>SUM(G94:G95)</f>
        <v>1.68084</v>
      </c>
      <c r="L96" s="49" t="s">
        <v>74</v>
      </c>
      <c r="M96" s="50"/>
      <c r="N96" s="50"/>
      <c r="O96" s="51">
        <f>O74+O80+O83+O87+O93</f>
        <v>2.2373200000000004</v>
      </c>
    </row>
    <row r="97" spans="1:15" ht="13.5" thickBot="1">
      <c r="A97" t="s">
        <v>106</v>
      </c>
      <c r="D97" s="144" t="s">
        <v>38</v>
      </c>
      <c r="E97" s="104" t="s">
        <v>83</v>
      </c>
      <c r="F97" s="27"/>
      <c r="G97" s="28"/>
      <c r="I97" t="s">
        <v>34</v>
      </c>
      <c r="L97" s="49" t="s">
        <v>168</v>
      </c>
      <c r="M97" s="50"/>
      <c r="N97" s="50"/>
      <c r="O97" s="51">
        <f>N74+N80+N83+N87+N93</f>
        <v>9</v>
      </c>
    </row>
    <row r="98" spans="2:11" ht="13.5" thickBot="1">
      <c r="B98" s="10" t="s">
        <v>6</v>
      </c>
      <c r="C98" s="11">
        <f>$D$76+187</f>
        <v>900</v>
      </c>
      <c r="D98" s="14" t="s">
        <v>8</v>
      </c>
      <c r="E98" s="180">
        <f>$F$76+310</f>
        <v>600</v>
      </c>
      <c r="F98" s="181" t="s">
        <v>7</v>
      </c>
      <c r="G98" s="182">
        <v>600</v>
      </c>
      <c r="J98" s="158" t="s">
        <v>51</v>
      </c>
      <c r="K98" s="159">
        <f>C100*2+444*4</f>
        <v>3576</v>
      </c>
    </row>
    <row r="99" spans="2:7" ht="13.5" thickBot="1">
      <c r="B99" s="1" t="s">
        <v>0</v>
      </c>
      <c r="C99" s="2" t="s">
        <v>1</v>
      </c>
      <c r="D99" s="2" t="s">
        <v>2</v>
      </c>
      <c r="E99" s="2" t="s">
        <v>3</v>
      </c>
      <c r="F99" s="2" t="s">
        <v>4</v>
      </c>
      <c r="G99" s="3" t="s">
        <v>5</v>
      </c>
    </row>
    <row r="100" spans="2:15" ht="13.5" thickBot="1">
      <c r="B100" s="56">
        <v>1</v>
      </c>
      <c r="C100" s="31">
        <f>C98</f>
        <v>900</v>
      </c>
      <c r="D100" s="113">
        <f>G98</f>
        <v>600</v>
      </c>
      <c r="E100" s="18">
        <f>C100*D100/1000000</f>
        <v>0.54</v>
      </c>
      <c r="F100" s="80">
        <v>0</v>
      </c>
      <c r="G100" s="34">
        <f>E100*F100</f>
        <v>0</v>
      </c>
      <c r="H100" t="s">
        <v>84</v>
      </c>
      <c r="I100" t="s">
        <v>278</v>
      </c>
      <c r="N100" t="s">
        <v>77</v>
      </c>
      <c r="O100" t="s">
        <v>13</v>
      </c>
    </row>
    <row r="101" spans="1:15" ht="13.5" thickBot="1">
      <c r="A101">
        <v>43</v>
      </c>
      <c r="B101" s="5">
        <v>2</v>
      </c>
      <c r="C101" s="57">
        <f>C98</f>
        <v>900</v>
      </c>
      <c r="D101" s="184">
        <f>G98/2-10</f>
        <v>290</v>
      </c>
      <c r="E101" s="9">
        <f>C101*D101/1000000</f>
        <v>0.261</v>
      </c>
      <c r="F101" s="81">
        <v>2</v>
      </c>
      <c r="G101" s="8">
        <f>E101*F101</f>
        <v>0.522</v>
      </c>
      <c r="H101" t="s">
        <v>30</v>
      </c>
      <c r="L101" s="49" t="s">
        <v>75</v>
      </c>
      <c r="M101" s="50"/>
      <c r="N101" s="50">
        <f>N10+N19+N32+N33+N39+N53+N65+N80+N83+N87+N93+N74+N54+N40</f>
        <v>24</v>
      </c>
      <c r="O101" s="51">
        <f>O10+O19+O32+O33+O41+O55+O65+O80+O83+O87+O93+O74</f>
        <v>4.570288</v>
      </c>
    </row>
    <row r="102" spans="1:15" ht="13.5" thickBot="1">
      <c r="A102">
        <v>44</v>
      </c>
      <c r="B102" s="5">
        <v>3</v>
      </c>
      <c r="C102" s="54">
        <v>584</v>
      </c>
      <c r="D102" s="183">
        <f>G98-16</f>
        <v>584</v>
      </c>
      <c r="E102" s="6">
        <f>C102*D102/1000000</f>
        <v>0.341056</v>
      </c>
      <c r="F102" s="81">
        <v>4</v>
      </c>
      <c r="G102" s="8">
        <f>E102*F102</f>
        <v>1.364224</v>
      </c>
      <c r="H102" t="s">
        <v>31</v>
      </c>
      <c r="J102" t="s">
        <v>76</v>
      </c>
      <c r="K102">
        <v>192</v>
      </c>
      <c r="L102">
        <v>195</v>
      </c>
      <c r="M102">
        <v>220</v>
      </c>
      <c r="N102">
        <v>250</v>
      </c>
      <c r="O102">
        <v>217</v>
      </c>
    </row>
    <row r="103" spans="1:15" ht="13.5" thickBot="1">
      <c r="A103">
        <v>45</v>
      </c>
      <c r="B103" s="47">
        <v>4</v>
      </c>
      <c r="C103" s="112">
        <f>C98-32</f>
        <v>868</v>
      </c>
      <c r="D103" s="36">
        <v>100</v>
      </c>
      <c r="E103" s="36">
        <f>C103*D103/1000000</f>
        <v>0.0868</v>
      </c>
      <c r="F103" s="105">
        <v>1</v>
      </c>
      <c r="G103" s="38">
        <f>E103*F103</f>
        <v>0.0868</v>
      </c>
      <c r="H103" t="s">
        <v>81</v>
      </c>
      <c r="J103" s="26" t="s">
        <v>61</v>
      </c>
      <c r="K103" s="111">
        <f>O101*K102</f>
        <v>877.4952959999999</v>
      </c>
      <c r="L103" s="111">
        <f>O101*L102</f>
        <v>891.20616</v>
      </c>
      <c r="M103" s="111">
        <f>O101*M102</f>
        <v>1005.46336</v>
      </c>
      <c r="N103" s="111">
        <f>O101*N102</f>
        <v>1142.572</v>
      </c>
      <c r="O103" s="111">
        <f>O101*O102</f>
        <v>991.752496</v>
      </c>
    </row>
    <row r="104" spans="6:15" ht="12.75">
      <c r="F104"/>
      <c r="G104" s="25">
        <f>SUM(G100:G102)</f>
        <v>1.8862240000000001</v>
      </c>
      <c r="L104">
        <f>L103-K103</f>
        <v>13.710864000000015</v>
      </c>
      <c r="M104">
        <f>M103-K103</f>
        <v>127.96806400000003</v>
      </c>
      <c r="N104">
        <f>N103-K103</f>
        <v>265.07670399999995</v>
      </c>
      <c r="O104">
        <f>O103-K103</f>
        <v>114.25720000000001</v>
      </c>
    </row>
    <row r="105" spans="6:9" ht="13.5" thickBot="1">
      <c r="F105"/>
      <c r="G105" s="25"/>
      <c r="I105" s="59" t="s">
        <v>39</v>
      </c>
    </row>
    <row r="106" spans="1:6" ht="13.5" thickBot="1">
      <c r="A106" t="s">
        <v>106</v>
      </c>
      <c r="D106" s="39" t="s">
        <v>41</v>
      </c>
      <c r="E106" s="104" t="s">
        <v>40</v>
      </c>
      <c r="F106" s="28"/>
    </row>
    <row r="107" spans="2:14" ht="13.5" thickBot="1">
      <c r="B107" s="10" t="s">
        <v>6</v>
      </c>
      <c r="C107" s="11">
        <f>$D$76+187</f>
        <v>900</v>
      </c>
      <c r="D107" s="14" t="s">
        <v>8</v>
      </c>
      <c r="E107" s="15">
        <f>$F$76</f>
        <v>290</v>
      </c>
      <c r="F107" s="12" t="s">
        <v>7</v>
      </c>
      <c r="G107" s="13">
        <v>600</v>
      </c>
      <c r="J107" s="158" t="s">
        <v>51</v>
      </c>
      <c r="K107" s="159">
        <f>C109+C111*2+C110</f>
        <v>2604</v>
      </c>
      <c r="N107">
        <v>0.54</v>
      </c>
    </row>
    <row r="108" spans="2:14" ht="13.5" thickBot="1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3" t="s">
        <v>5</v>
      </c>
      <c r="N108">
        <v>0.9</v>
      </c>
    </row>
    <row r="109" spans="1:15" ht="12.75">
      <c r="A109">
        <v>46</v>
      </c>
      <c r="B109" s="56">
        <v>1</v>
      </c>
      <c r="C109" s="53">
        <f>C107</f>
        <v>900</v>
      </c>
      <c r="D109" s="32">
        <f>E107</f>
        <v>290</v>
      </c>
      <c r="E109" s="18">
        <f>C109*D109/1000000</f>
        <v>0.261</v>
      </c>
      <c r="F109" s="80">
        <v>2</v>
      </c>
      <c r="G109" s="34">
        <f>E109*F109</f>
        <v>0.522</v>
      </c>
      <c r="H109" t="s">
        <v>30</v>
      </c>
      <c r="M109">
        <v>192</v>
      </c>
      <c r="N109">
        <f>N107*N108</f>
        <v>0.48600000000000004</v>
      </c>
      <c r="O109">
        <f>M109*N109</f>
        <v>93.31200000000001</v>
      </c>
    </row>
    <row r="110" spans="1:8" ht="12.75">
      <c r="A110">
        <v>47</v>
      </c>
      <c r="B110" s="5">
        <v>2</v>
      </c>
      <c r="C110" s="54">
        <f>G107-16-16</f>
        <v>568</v>
      </c>
      <c r="D110" s="16">
        <f>E107</f>
        <v>290</v>
      </c>
      <c r="E110" s="6">
        <f>C110*D110/1000000</f>
        <v>0.16472</v>
      </c>
      <c r="F110" s="81">
        <v>4</v>
      </c>
      <c r="G110" s="8">
        <f>E110*F110</f>
        <v>0.65888</v>
      </c>
      <c r="H110" t="s">
        <v>153</v>
      </c>
    </row>
    <row r="111" spans="1:8" ht="13.5" thickBot="1">
      <c r="A111">
        <v>48</v>
      </c>
      <c r="B111" s="185">
        <v>3</v>
      </c>
      <c r="C111" s="186">
        <f>G107-16-16</f>
        <v>568</v>
      </c>
      <c r="D111" s="187">
        <f>E107-100</f>
        <v>190</v>
      </c>
      <c r="E111" s="36">
        <f>C111*D111/1000000</f>
        <v>0.10792</v>
      </c>
      <c r="F111" s="105">
        <v>1</v>
      </c>
      <c r="G111" s="38">
        <f>E111*F111</f>
        <v>0.10792</v>
      </c>
      <c r="H111" t="s">
        <v>85</v>
      </c>
    </row>
    <row r="112" ht="12.75">
      <c r="G112" s="25">
        <f>SUM(G109:G111)</f>
        <v>1.2888000000000002</v>
      </c>
    </row>
    <row r="113" spans="1:8" ht="10.5" customHeight="1" thickBot="1">
      <c r="A113" s="72"/>
      <c r="B113" s="29"/>
      <c r="C113" s="72"/>
      <c r="D113" s="72"/>
      <c r="E113" s="72"/>
      <c r="F113" s="29"/>
      <c r="G113" s="118"/>
      <c r="H113" s="72"/>
    </row>
    <row r="114" spans="1:7" ht="13.5" thickBot="1">
      <c r="A114" t="s">
        <v>106</v>
      </c>
      <c r="D114" s="39" t="s">
        <v>42</v>
      </c>
      <c r="E114" s="104" t="s">
        <v>86</v>
      </c>
      <c r="F114" s="28"/>
      <c r="G114" s="28"/>
    </row>
    <row r="115" spans="2:11" ht="13.5" thickBot="1">
      <c r="B115" s="10" t="s">
        <v>6</v>
      </c>
      <c r="C115" s="11">
        <f>C107</f>
        <v>900</v>
      </c>
      <c r="D115" s="14" t="s">
        <v>8</v>
      </c>
      <c r="E115" s="15">
        <f>$F$76</f>
        <v>290</v>
      </c>
      <c r="F115" s="12" t="s">
        <v>7</v>
      </c>
      <c r="G115" s="13">
        <v>550</v>
      </c>
      <c r="J115" s="158" t="s">
        <v>51</v>
      </c>
      <c r="K115" s="159">
        <f>C119</f>
        <v>900</v>
      </c>
    </row>
    <row r="116" spans="2:7" ht="13.5" thickBot="1">
      <c r="B116" s="1" t="s">
        <v>0</v>
      </c>
      <c r="C116" s="2" t="s">
        <v>1</v>
      </c>
      <c r="D116" s="2" t="s">
        <v>2</v>
      </c>
      <c r="E116" s="2" t="s">
        <v>3</v>
      </c>
      <c r="F116" s="2" t="s">
        <v>4</v>
      </c>
      <c r="G116" s="3" t="s">
        <v>5</v>
      </c>
    </row>
    <row r="117" spans="1:8" ht="12.75">
      <c r="A117">
        <v>49</v>
      </c>
      <c r="B117" s="56">
        <v>1</v>
      </c>
      <c r="C117" s="53">
        <f>C115</f>
        <v>900</v>
      </c>
      <c r="D117" s="32">
        <f>E115-16</f>
        <v>274</v>
      </c>
      <c r="E117" s="18">
        <f>C117*D117/1000000</f>
        <v>0.2466</v>
      </c>
      <c r="F117" s="80">
        <v>1</v>
      </c>
      <c r="G117" s="34">
        <f>E117*F117</f>
        <v>0.2466</v>
      </c>
      <c r="H117" t="s">
        <v>87</v>
      </c>
    </row>
    <row r="118" spans="1:8" ht="12.75">
      <c r="A118">
        <v>50</v>
      </c>
      <c r="B118" s="89">
        <v>2</v>
      </c>
      <c r="C118" s="17">
        <f>G115-16</f>
        <v>534</v>
      </c>
      <c r="D118" s="16">
        <f>E115-16</f>
        <v>274</v>
      </c>
      <c r="E118" s="6">
        <f>C118*D118/1000000</f>
        <v>0.146316</v>
      </c>
      <c r="F118" s="81">
        <v>4</v>
      </c>
      <c r="G118" s="8">
        <f>E118*F118</f>
        <v>0.585264</v>
      </c>
      <c r="H118" s="137" t="s">
        <v>158</v>
      </c>
    </row>
    <row r="119" spans="1:8" ht="13.5" thickBot="1">
      <c r="A119">
        <v>51</v>
      </c>
      <c r="B119" s="169">
        <v>3</v>
      </c>
      <c r="C119" s="117">
        <f>C115</f>
        <v>900</v>
      </c>
      <c r="D119" s="92">
        <f>G115</f>
        <v>550</v>
      </c>
      <c r="E119" s="36">
        <f>C119*D119/1000000</f>
        <v>0.495</v>
      </c>
      <c r="F119" s="105">
        <v>1</v>
      </c>
      <c r="G119" s="38">
        <f>E119*F119</f>
        <v>0.495</v>
      </c>
      <c r="H119" t="s">
        <v>84</v>
      </c>
    </row>
    <row r="120" spans="2:8" ht="12.75">
      <c r="B120" s="116"/>
      <c r="C120" s="72"/>
      <c r="D120" s="72"/>
      <c r="E120" s="72"/>
      <c r="F120" s="29"/>
      <c r="G120" s="68">
        <f>SUM(G117:G118)</f>
        <v>0.831864</v>
      </c>
      <c r="H120" s="137"/>
    </row>
    <row r="121" spans="2:8" ht="13.5" thickBot="1">
      <c r="B121" s="29"/>
      <c r="C121" s="72"/>
      <c r="D121" s="72"/>
      <c r="E121" s="72"/>
      <c r="F121" s="29"/>
      <c r="G121" s="68"/>
      <c r="H121" s="137"/>
    </row>
    <row r="122" spans="4:11" ht="13.5" thickBot="1">
      <c r="D122" s="39" t="s">
        <v>46</v>
      </c>
      <c r="E122" s="104" t="s">
        <v>45</v>
      </c>
      <c r="F122" s="152"/>
      <c r="J122" s="158" t="s">
        <v>51</v>
      </c>
      <c r="K122" s="159">
        <f>C125+1500</f>
        <v>4220</v>
      </c>
    </row>
    <row r="123" spans="2:7" ht="13.5" thickBot="1">
      <c r="B123" s="10" t="s">
        <v>6</v>
      </c>
      <c r="C123" s="11">
        <v>0</v>
      </c>
      <c r="D123" s="14" t="s">
        <v>8</v>
      </c>
      <c r="E123" s="15">
        <f>$F$76</f>
        <v>290</v>
      </c>
      <c r="F123" s="155" t="s">
        <v>7</v>
      </c>
      <c r="G123" s="13">
        <v>960</v>
      </c>
    </row>
    <row r="124" spans="2:8" ht="13.5" thickBot="1">
      <c r="B124" s="1" t="s">
        <v>0</v>
      </c>
      <c r="C124" s="2" t="s">
        <v>1</v>
      </c>
      <c r="D124" s="2" t="s">
        <v>2</v>
      </c>
      <c r="E124" s="2" t="s">
        <v>3</v>
      </c>
      <c r="F124" s="156" t="s">
        <v>4</v>
      </c>
      <c r="G124" s="3" t="s">
        <v>5</v>
      </c>
      <c r="H124" s="137"/>
    </row>
    <row r="125" spans="1:11" ht="12.75">
      <c r="A125" s="219">
        <v>52</v>
      </c>
      <c r="B125" s="56">
        <v>1</v>
      </c>
      <c r="C125" s="53">
        <v>2720</v>
      </c>
      <c r="D125" s="32">
        <v>480</v>
      </c>
      <c r="E125" s="18">
        <f>C125*D125/1000000</f>
        <v>1.3056</v>
      </c>
      <c r="F125" s="80">
        <v>1</v>
      </c>
      <c r="G125" s="34">
        <f>E125*F125</f>
        <v>1.3056</v>
      </c>
      <c r="J125">
        <v>130</v>
      </c>
      <c r="K125">
        <v>7.5</v>
      </c>
    </row>
    <row r="126" spans="2:11" ht="12.75">
      <c r="B126" s="5">
        <v>2</v>
      </c>
      <c r="C126" s="54"/>
      <c r="D126" s="16"/>
      <c r="E126" s="6"/>
      <c r="F126" s="81"/>
      <c r="G126" s="8"/>
      <c r="J126">
        <v>55</v>
      </c>
      <c r="K126">
        <v>6.5</v>
      </c>
    </row>
    <row r="127" spans="2:8" ht="13.5" thickBot="1">
      <c r="B127" s="47">
        <v>3</v>
      </c>
      <c r="C127" s="55"/>
      <c r="D127" s="35"/>
      <c r="E127" s="36"/>
      <c r="F127" s="105"/>
      <c r="G127" s="38"/>
      <c r="H127" s="137">
        <f>D131/5</f>
        <v>19.2</v>
      </c>
    </row>
    <row r="128" spans="2:8" ht="13.5" thickBot="1">
      <c r="B128" s="29"/>
      <c r="C128" s="72"/>
      <c r="D128" s="72"/>
      <c r="E128" s="72"/>
      <c r="F128" s="29"/>
      <c r="G128" s="68"/>
      <c r="H128" s="137"/>
    </row>
    <row r="129" spans="1:11" ht="13.5" thickBot="1">
      <c r="A129" t="s">
        <v>106</v>
      </c>
      <c r="D129" s="39" t="s">
        <v>88</v>
      </c>
      <c r="E129" s="104" t="s">
        <v>91</v>
      </c>
      <c r="F129" s="28"/>
      <c r="G129" s="28"/>
      <c r="J129" s="158" t="s">
        <v>51</v>
      </c>
      <c r="K129" s="159">
        <f>C131+C132+C133+C134</f>
        <v>4460</v>
      </c>
    </row>
    <row r="130" spans="2:7" ht="13.5" thickBot="1">
      <c r="B130" s="1" t="s">
        <v>0</v>
      </c>
      <c r="C130" s="2" t="s">
        <v>1</v>
      </c>
      <c r="D130" s="2" t="s">
        <v>2</v>
      </c>
      <c r="E130" s="2" t="s">
        <v>3</v>
      </c>
      <c r="F130" s="2" t="s">
        <v>4</v>
      </c>
      <c r="G130" s="3" t="s">
        <v>5</v>
      </c>
    </row>
    <row r="131" spans="1:8" ht="12.75">
      <c r="A131">
        <v>53</v>
      </c>
      <c r="B131" s="121">
        <v>1</v>
      </c>
      <c r="C131" s="122">
        <v>2730</v>
      </c>
      <c r="D131" s="122">
        <v>96</v>
      </c>
      <c r="E131" s="123">
        <f>C131*D131/1000000</f>
        <v>0.26208</v>
      </c>
      <c r="F131" s="141">
        <v>1</v>
      </c>
      <c r="G131" s="124">
        <f>E131*F131</f>
        <v>0.26208</v>
      </c>
      <c r="H131" t="s">
        <v>107</v>
      </c>
    </row>
    <row r="132" spans="1:8" ht="12.75">
      <c r="A132">
        <v>54</v>
      </c>
      <c r="B132" s="5">
        <v>2</v>
      </c>
      <c r="C132" s="6">
        <v>1080</v>
      </c>
      <c r="D132" s="6">
        <v>96</v>
      </c>
      <c r="E132" s="6">
        <f>C132*D132/1000000</f>
        <v>0.10368</v>
      </c>
      <c r="F132" s="81">
        <v>1</v>
      </c>
      <c r="G132" s="8">
        <f>E132*F132</f>
        <v>0.10368</v>
      </c>
      <c r="H132" t="s">
        <v>107</v>
      </c>
    </row>
    <row r="133" spans="1:8" ht="12.75">
      <c r="A133">
        <v>55</v>
      </c>
      <c r="B133" s="5">
        <v>3</v>
      </c>
      <c r="C133" s="6">
        <v>200</v>
      </c>
      <c r="D133" s="6">
        <v>96</v>
      </c>
      <c r="E133" s="6">
        <f>C133*D133/1000000</f>
        <v>0.0192</v>
      </c>
      <c r="F133" s="81">
        <v>1</v>
      </c>
      <c r="G133" s="8">
        <f>E133*F133</f>
        <v>0.0192</v>
      </c>
      <c r="H133" t="s">
        <v>107</v>
      </c>
    </row>
    <row r="134" spans="1:13" ht="13.5" thickBot="1">
      <c r="A134">
        <v>56</v>
      </c>
      <c r="B134" s="114">
        <v>4</v>
      </c>
      <c r="C134" s="120">
        <v>450</v>
      </c>
      <c r="D134" s="120">
        <v>96</v>
      </c>
      <c r="E134" s="94">
        <f>C134*D134/1000000</f>
        <v>0.0432</v>
      </c>
      <c r="F134" s="153">
        <v>1</v>
      </c>
      <c r="G134" s="95">
        <f>E134*F134</f>
        <v>0.0432</v>
      </c>
      <c r="H134" t="s">
        <v>107</v>
      </c>
      <c r="J134" s="137" t="s">
        <v>48</v>
      </c>
      <c r="K134" s="137"/>
      <c r="L134" s="137"/>
      <c r="M134" s="137"/>
    </row>
    <row r="135" spans="2:13" ht="13.5" thickBot="1">
      <c r="B135" s="116"/>
      <c r="C135" s="72"/>
      <c r="D135" s="72"/>
      <c r="E135" s="72"/>
      <c r="F135" s="29"/>
      <c r="G135" s="68">
        <f>SUM(G131:G134)</f>
        <v>0.42816</v>
      </c>
      <c r="J135" s="49" t="s">
        <v>43</v>
      </c>
      <c r="K135" s="50"/>
      <c r="L135" s="50"/>
      <c r="M135" s="51">
        <f>D160+G151</f>
        <v>11.736268000000003</v>
      </c>
    </row>
    <row r="136" spans="1:13" ht="13.5" thickBot="1">
      <c r="A136" t="s">
        <v>106</v>
      </c>
      <c r="D136" s="39" t="s">
        <v>92</v>
      </c>
      <c r="E136" s="104" t="s">
        <v>95</v>
      </c>
      <c r="F136" s="28"/>
      <c r="G136" s="28"/>
      <c r="J136" s="49" t="s">
        <v>44</v>
      </c>
      <c r="K136" s="50"/>
      <c r="L136" s="50"/>
      <c r="M136" s="51">
        <f>G71+M135</f>
        <v>20.852188</v>
      </c>
    </row>
    <row r="137" spans="2:7" ht="13.5" thickBot="1">
      <c r="B137" s="1" t="s">
        <v>0</v>
      </c>
      <c r="C137" s="2" t="s">
        <v>1</v>
      </c>
      <c r="D137" s="2" t="s">
        <v>2</v>
      </c>
      <c r="E137" s="2" t="s">
        <v>3</v>
      </c>
      <c r="F137" s="2" t="s">
        <v>4</v>
      </c>
      <c r="G137" s="3" t="s">
        <v>5</v>
      </c>
    </row>
    <row r="138" spans="1:8" ht="13.5" thickBot="1">
      <c r="A138">
        <v>57</v>
      </c>
      <c r="B138" s="127">
        <v>1</v>
      </c>
      <c r="C138" s="128">
        <v>500</v>
      </c>
      <c r="D138" s="128">
        <v>250</v>
      </c>
      <c r="E138" s="129">
        <f>C138*D138/1000000</f>
        <v>0.125</v>
      </c>
      <c r="F138" s="154">
        <v>2</v>
      </c>
      <c r="G138" s="130">
        <f>E138*F138</f>
        <v>0.25</v>
      </c>
      <c r="H138" t="s">
        <v>94</v>
      </c>
    </row>
    <row r="139" spans="2:7" ht="13.5" thickBot="1">
      <c r="B139" s="133" t="s">
        <v>106</v>
      </c>
      <c r="C139" s="72"/>
      <c r="D139" s="72"/>
      <c r="E139" s="72"/>
      <c r="F139" s="29"/>
      <c r="G139" s="68">
        <f>SUM(G138)</f>
        <v>0.25</v>
      </c>
    </row>
    <row r="140" spans="2:11" ht="13.5" thickBot="1">
      <c r="B140" s="134" t="s">
        <v>106</v>
      </c>
      <c r="C140" s="72"/>
      <c r="D140" s="72"/>
      <c r="E140" s="72"/>
      <c r="F140" s="29"/>
      <c r="G140" s="68"/>
      <c r="J140" s="158" t="s">
        <v>51</v>
      </c>
      <c r="K140" s="159">
        <f>C143*2+C144*2</f>
        <v>3700</v>
      </c>
    </row>
    <row r="141" spans="1:14" ht="13.5" thickBot="1">
      <c r="A141" t="s">
        <v>106</v>
      </c>
      <c r="B141" s="135" t="s">
        <v>106</v>
      </c>
      <c r="D141" s="39" t="s">
        <v>93</v>
      </c>
      <c r="E141" s="104" t="s">
        <v>90</v>
      </c>
      <c r="F141" s="28"/>
      <c r="G141" s="28"/>
      <c r="K141" s="39"/>
      <c r="L141" s="104" t="s">
        <v>96</v>
      </c>
      <c r="M141" s="28"/>
      <c r="N141" s="28"/>
    </row>
    <row r="142" spans="2:14" ht="13.5" thickBot="1">
      <c r="B142" s="1" t="s">
        <v>0</v>
      </c>
      <c r="C142" s="2" t="s">
        <v>1</v>
      </c>
      <c r="D142" s="2" t="s">
        <v>2</v>
      </c>
      <c r="E142" s="2" t="s">
        <v>3</v>
      </c>
      <c r="F142" s="2" t="s">
        <v>4</v>
      </c>
      <c r="G142" s="3" t="s">
        <v>5</v>
      </c>
      <c r="I142" s="1" t="s">
        <v>0</v>
      </c>
      <c r="J142" s="2" t="s">
        <v>1</v>
      </c>
      <c r="K142" s="2" t="s">
        <v>2</v>
      </c>
      <c r="L142" s="2" t="s">
        <v>3</v>
      </c>
      <c r="M142" s="2" t="s">
        <v>4</v>
      </c>
      <c r="N142" s="3" t="s">
        <v>5</v>
      </c>
    </row>
    <row r="143" spans="1:17" ht="13.5" thickBot="1">
      <c r="A143">
        <v>58</v>
      </c>
      <c r="B143" s="56">
        <v>1</v>
      </c>
      <c r="C143" s="119">
        <v>1300</v>
      </c>
      <c r="D143" s="119">
        <v>75</v>
      </c>
      <c r="E143" s="18">
        <f>C143*D143/1000000</f>
        <v>0.0975</v>
      </c>
      <c r="F143" s="80">
        <v>2</v>
      </c>
      <c r="G143" s="34">
        <f>E143*F143</f>
        <v>0.195</v>
      </c>
      <c r="H143" s="137" t="s">
        <v>108</v>
      </c>
      <c r="I143" s="56">
        <v>1</v>
      </c>
      <c r="J143" s="122">
        <v>2600</v>
      </c>
      <c r="K143" s="119">
        <v>600</v>
      </c>
      <c r="L143" s="18">
        <f>J143*K143/1000000</f>
        <v>1.56</v>
      </c>
      <c r="M143" s="33">
        <v>1</v>
      </c>
      <c r="N143" s="34">
        <f>L143*M143</f>
        <v>1.56</v>
      </c>
      <c r="O143" t="s">
        <v>101</v>
      </c>
      <c r="Q143" t="s">
        <v>128</v>
      </c>
    </row>
    <row r="144" spans="1:17" ht="13.5" thickBot="1">
      <c r="A144">
        <v>59</v>
      </c>
      <c r="B144" s="47">
        <v>2</v>
      </c>
      <c r="C144" s="36">
        <v>550</v>
      </c>
      <c r="D144" s="46">
        <v>65</v>
      </c>
      <c r="E144" s="94">
        <f>C144*D144/1000000</f>
        <v>0.03575</v>
      </c>
      <c r="F144" s="153">
        <v>2</v>
      </c>
      <c r="G144" s="95">
        <f>E144*F144</f>
        <v>0.0715</v>
      </c>
      <c r="H144" s="137" t="s">
        <v>108</v>
      </c>
      <c r="I144" s="4">
        <v>2</v>
      </c>
      <c r="J144" s="148">
        <v>1780</v>
      </c>
      <c r="K144" s="9">
        <v>600</v>
      </c>
      <c r="L144" s="6">
        <f>J144*K144/1000000</f>
        <v>1.068</v>
      </c>
      <c r="M144" s="7">
        <v>1</v>
      </c>
      <c r="N144" s="8">
        <f>L144*M144</f>
        <v>1.068</v>
      </c>
      <c r="O144" t="s">
        <v>102</v>
      </c>
      <c r="Q144" t="s">
        <v>129</v>
      </c>
    </row>
    <row r="145" spans="2:15" ht="13.5" thickBot="1">
      <c r="B145" s="125"/>
      <c r="C145" s="72"/>
      <c r="D145" s="72"/>
      <c r="E145" s="72"/>
      <c r="F145" s="29"/>
      <c r="G145" s="118">
        <f>SUM(G143:G144)</f>
        <v>0.2665</v>
      </c>
      <c r="I145" s="4">
        <v>3</v>
      </c>
      <c r="J145" s="149"/>
      <c r="K145" s="9">
        <v>600</v>
      </c>
      <c r="L145" s="6">
        <f>J145*K145/1000000</f>
        <v>0</v>
      </c>
      <c r="M145" s="7">
        <v>0</v>
      </c>
      <c r="N145" s="8">
        <f>L145*M145</f>
        <v>0</v>
      </c>
      <c r="O145" t="s">
        <v>103</v>
      </c>
    </row>
    <row r="146" spans="1:15" ht="13.5" thickBot="1">
      <c r="A146" t="s">
        <v>106</v>
      </c>
      <c r="B146" s="135" t="s">
        <v>106</v>
      </c>
      <c r="D146" s="39" t="s">
        <v>97</v>
      </c>
      <c r="E146" s="104" t="s">
        <v>121</v>
      </c>
      <c r="F146" s="28"/>
      <c r="G146" s="28"/>
      <c r="I146" s="4">
        <v>4</v>
      </c>
      <c r="J146" s="149">
        <v>1000</v>
      </c>
      <c r="K146" s="9">
        <v>600</v>
      </c>
      <c r="L146" s="6">
        <f>J146*K146/1000000</f>
        <v>0.6</v>
      </c>
      <c r="M146" s="7">
        <v>1</v>
      </c>
      <c r="N146" s="8">
        <f>L146*M146</f>
        <v>0.6</v>
      </c>
      <c r="O146" t="s">
        <v>105</v>
      </c>
    </row>
    <row r="147" spans="2:23" ht="13.5" thickBot="1">
      <c r="B147" s="1" t="s">
        <v>0</v>
      </c>
      <c r="C147" s="2" t="s">
        <v>1</v>
      </c>
      <c r="D147" s="2" t="s">
        <v>2</v>
      </c>
      <c r="E147" s="2" t="s">
        <v>3</v>
      </c>
      <c r="F147" s="2" t="s">
        <v>4</v>
      </c>
      <c r="G147" s="3" t="s">
        <v>5</v>
      </c>
      <c r="Q147" s="4">
        <v>3</v>
      </c>
      <c r="R147" s="150">
        <v>950</v>
      </c>
      <c r="S147" s="9">
        <v>600</v>
      </c>
      <c r="T147" s="6">
        <f>R147*S147/1000000</f>
        <v>0.57</v>
      </c>
      <c r="U147" s="7">
        <v>0</v>
      </c>
      <c r="V147" s="8">
        <f>T147*U147</f>
        <v>0</v>
      </c>
      <c r="W147" t="s">
        <v>104</v>
      </c>
    </row>
    <row r="148" spans="1:14" ht="13.5" thickBot="1">
      <c r="A148">
        <v>60</v>
      </c>
      <c r="B148" s="127">
        <v>1</v>
      </c>
      <c r="C148" s="128">
        <v>2350</v>
      </c>
      <c r="D148" s="128">
        <v>220</v>
      </c>
      <c r="E148" s="129">
        <f>C148*D148/1000000</f>
        <v>0.517</v>
      </c>
      <c r="F148" s="154">
        <v>2</v>
      </c>
      <c r="G148" s="130">
        <f>E148*F148</f>
        <v>1.034</v>
      </c>
      <c r="H148" s="137" t="s">
        <v>122</v>
      </c>
      <c r="I148" s="125"/>
      <c r="J148" s="151">
        <f>SUM(J143:J146)</f>
        <v>5380</v>
      </c>
      <c r="K148" s="72"/>
      <c r="L148" s="72"/>
      <c r="M148" s="29"/>
      <c r="N148" s="118">
        <f>SUM(N143:N147)</f>
        <v>3.228</v>
      </c>
    </row>
    <row r="149" spans="2:11" ht="13.5" thickBot="1">
      <c r="B149" s="125"/>
      <c r="C149" s="72"/>
      <c r="D149" s="72"/>
      <c r="E149" s="72"/>
      <c r="F149" s="134"/>
      <c r="G149" s="72"/>
      <c r="J149" s="158" t="s">
        <v>51</v>
      </c>
      <c r="K149" s="159">
        <f>C148*2</f>
        <v>4700</v>
      </c>
    </row>
    <row r="150" spans="1:8" ht="13.5" thickBot="1">
      <c r="A150" s="219">
        <v>65</v>
      </c>
      <c r="B150" s="127">
        <v>1</v>
      </c>
      <c r="C150" s="128">
        <v>1400</v>
      </c>
      <c r="D150" s="128">
        <v>480</v>
      </c>
      <c r="E150" s="129">
        <f>C150*D150/1000000</f>
        <v>0.672</v>
      </c>
      <c r="F150" s="154">
        <v>1</v>
      </c>
      <c r="G150" s="130">
        <f>E150*F150</f>
        <v>0.672</v>
      </c>
      <c r="H150" s="72" t="s">
        <v>187</v>
      </c>
    </row>
    <row r="151" spans="2:8" ht="13.5" thickBot="1">
      <c r="B151" s="72"/>
      <c r="C151" s="72"/>
      <c r="D151" s="72"/>
      <c r="E151" s="72"/>
      <c r="F151" s="134"/>
      <c r="G151" s="118"/>
      <c r="H151" s="72"/>
    </row>
    <row r="152" spans="4:11" ht="13.5" thickBot="1">
      <c r="D152" s="39" t="s">
        <v>97</v>
      </c>
      <c r="E152" s="104" t="s">
        <v>198</v>
      </c>
      <c r="F152" s="28"/>
      <c r="G152" s="28"/>
      <c r="J152" s="170" t="s">
        <v>51</v>
      </c>
      <c r="K152" s="171">
        <f>L11+L21+L44+L56+L67+K77+K84+K94+K98+K107+K115+K129+K140+K149+K122</f>
        <v>69523.5</v>
      </c>
    </row>
    <row r="153" spans="1:16" ht="13.5" thickBot="1">
      <c r="A153">
        <v>63</v>
      </c>
      <c r="B153" s="56">
        <v>1</v>
      </c>
      <c r="C153" s="119">
        <v>500</v>
      </c>
      <c r="D153" s="119">
        <v>80</v>
      </c>
      <c r="E153" s="18">
        <f>C153*D153/1000000</f>
        <v>0.04</v>
      </c>
      <c r="F153" s="80">
        <v>2</v>
      </c>
      <c r="G153" s="34">
        <f>E153*F153</f>
        <v>0.08</v>
      </c>
      <c r="H153" t="s">
        <v>199</v>
      </c>
      <c r="O153" s="195">
        <v>69</v>
      </c>
      <c r="P153" s="196">
        <v>90</v>
      </c>
    </row>
    <row r="154" spans="1:18" ht="13.5" thickBot="1">
      <c r="A154">
        <v>69</v>
      </c>
      <c r="B154" s="5">
        <v>2</v>
      </c>
      <c r="C154" s="6">
        <v>400</v>
      </c>
      <c r="D154" s="6">
        <v>380</v>
      </c>
      <c r="E154" s="6">
        <f>C154*D154/1000000</f>
        <v>0.152</v>
      </c>
      <c r="F154" s="81">
        <v>2</v>
      </c>
      <c r="G154" s="8">
        <f>E154*F154</f>
        <v>0.304</v>
      </c>
      <c r="H154" t="s">
        <v>200</v>
      </c>
      <c r="J154" s="189" t="s">
        <v>146</v>
      </c>
      <c r="K154" s="101">
        <v>1</v>
      </c>
      <c r="L154" s="102">
        <v>60</v>
      </c>
      <c r="M154" s="102">
        <v>65</v>
      </c>
      <c r="N154" s="192">
        <f>L154*M154/10000</f>
        <v>0.39</v>
      </c>
      <c r="O154" s="101">
        <f>N154*$O$153</f>
        <v>26.91</v>
      </c>
      <c r="P154" s="101"/>
      <c r="R154">
        <v>275</v>
      </c>
    </row>
    <row r="155" spans="1:16" ht="12.75">
      <c r="A155">
        <v>62</v>
      </c>
      <c r="B155" s="89">
        <v>3</v>
      </c>
      <c r="C155" s="6">
        <v>900</v>
      </c>
      <c r="D155" s="6">
        <v>500</v>
      </c>
      <c r="E155" s="6">
        <f>C155*D155/1000000</f>
        <v>0.45</v>
      </c>
      <c r="F155" s="81">
        <v>1</v>
      </c>
      <c r="G155" s="8">
        <f>E155*F155</f>
        <v>0.45</v>
      </c>
      <c r="H155" t="s">
        <v>201</v>
      </c>
      <c r="J155">
        <v>69</v>
      </c>
      <c r="K155" s="172">
        <v>2</v>
      </c>
      <c r="L155" s="63">
        <v>35</v>
      </c>
      <c r="M155" s="63">
        <v>65</v>
      </c>
      <c r="N155" s="161">
        <f>L155*M155/10000</f>
        <v>0.2275</v>
      </c>
      <c r="O155" s="172">
        <f>N155*$J$155</f>
        <v>15.6975</v>
      </c>
      <c r="P155" s="172"/>
    </row>
    <row r="156" spans="1:16" ht="13.5" thickBot="1">
      <c r="A156">
        <v>61</v>
      </c>
      <c r="B156" s="107">
        <v>4</v>
      </c>
      <c r="C156" s="36">
        <v>900</v>
      </c>
      <c r="D156" s="36">
        <v>900</v>
      </c>
      <c r="E156" s="36">
        <f>C156*D156/1000000</f>
        <v>0.81</v>
      </c>
      <c r="F156" s="105">
        <v>1</v>
      </c>
      <c r="G156" s="38">
        <f>E156*F156</f>
        <v>0.81</v>
      </c>
      <c r="H156" t="s">
        <v>202</v>
      </c>
      <c r="K156" s="172">
        <v>3</v>
      </c>
      <c r="L156" s="160">
        <v>320</v>
      </c>
      <c r="M156" s="160">
        <v>65</v>
      </c>
      <c r="N156" s="161">
        <f>L156*M156/10000</f>
        <v>2.08</v>
      </c>
      <c r="O156" s="172">
        <f>N156*$J$155</f>
        <v>143.52</v>
      </c>
      <c r="P156" s="172"/>
    </row>
    <row r="157" spans="11:16" ht="12.75">
      <c r="K157" s="172">
        <v>4</v>
      </c>
      <c r="L157" s="160">
        <v>180</v>
      </c>
      <c r="M157" s="160">
        <v>65</v>
      </c>
      <c r="N157" s="161">
        <f>L157*M157/10000</f>
        <v>1.17</v>
      </c>
      <c r="O157" s="172">
        <f>N157*$J$155</f>
        <v>80.72999999999999</v>
      </c>
      <c r="P157" s="172"/>
    </row>
    <row r="158" spans="11:16" ht="13.5" thickBot="1">
      <c r="K158" s="69">
        <v>5</v>
      </c>
      <c r="L158" s="70">
        <v>100</v>
      </c>
      <c r="M158" s="70">
        <v>0</v>
      </c>
      <c r="N158" s="161">
        <f>L158*M158/10000</f>
        <v>0</v>
      </c>
      <c r="O158" s="69">
        <f>N158*$J$155</f>
        <v>0</v>
      </c>
      <c r="P158" s="69"/>
    </row>
    <row r="159" spans="5:16" ht="13.5" thickBot="1">
      <c r="E159" t="s">
        <v>47</v>
      </c>
      <c r="L159">
        <f>SUM(L154:L157)/100</f>
        <v>5.95</v>
      </c>
      <c r="N159" s="19">
        <f>SUM(N154:N158)</f>
        <v>3.8675</v>
      </c>
      <c r="O159" s="197">
        <f>N159*J155</f>
        <v>266.8575</v>
      </c>
      <c r="P159" s="193">
        <f>N159*P153</f>
        <v>348.075</v>
      </c>
    </row>
    <row r="160" spans="1:16" ht="13.5" thickBot="1">
      <c r="A160" s="49" t="s">
        <v>43</v>
      </c>
      <c r="B160" s="50"/>
      <c r="C160" s="157"/>
      <c r="D160" s="51">
        <f>G84+G90+G96+G104+G112+G125+G120+G135+G139+G145+G148</f>
        <v>11.736268000000003</v>
      </c>
      <c r="L160" s="72">
        <f>L159/M160</f>
        <v>29.75</v>
      </c>
      <c r="M160">
        <v>0.2</v>
      </c>
      <c r="P160" s="194">
        <f>P159-O159</f>
        <v>81.21749999999997</v>
      </c>
    </row>
    <row r="161" spans="1:4" ht="13.5" thickBot="1">
      <c r="A161" s="49" t="s">
        <v>44</v>
      </c>
      <c r="B161" s="50"/>
      <c r="C161" s="157"/>
      <c r="D161" s="51">
        <f>G71+D160</f>
        <v>20.852188</v>
      </c>
    </row>
    <row r="162" ht="12.75">
      <c r="N162">
        <v>19.5</v>
      </c>
    </row>
    <row r="164" spans="9:18" ht="12.75">
      <c r="I164" s="63">
        <v>0.6</v>
      </c>
      <c r="R164" t="s">
        <v>60</v>
      </c>
    </row>
    <row r="165" spans="9:18" ht="12.75">
      <c r="I165" s="63">
        <v>3.2</v>
      </c>
      <c r="M165" t="s">
        <v>228</v>
      </c>
      <c r="N165" t="s">
        <v>58</v>
      </c>
      <c r="O165" t="s">
        <v>45</v>
      </c>
      <c r="P165" t="s">
        <v>229</v>
      </c>
      <c r="R165">
        <f>J155/4</f>
        <v>17.25</v>
      </c>
    </row>
    <row r="166" spans="9:18" ht="12.75">
      <c r="I166" s="162">
        <v>1.8</v>
      </c>
      <c r="M166">
        <v>13</v>
      </c>
      <c r="N166">
        <v>4</v>
      </c>
      <c r="O166">
        <v>2</v>
      </c>
      <c r="P166">
        <v>1</v>
      </c>
      <c r="Q166">
        <f>SUM(M166:P166)</f>
        <v>20</v>
      </c>
      <c r="R166" s="24">
        <f>Q166*R165</f>
        <v>345</v>
      </c>
    </row>
    <row r="167" spans="9:10" ht="12.75">
      <c r="I167" s="276">
        <f>SUM(I164:I166)</f>
        <v>5.6000000000000005</v>
      </c>
      <c r="J167">
        <f>I167/0.2</f>
        <v>28</v>
      </c>
    </row>
    <row r="168" spans="14:16" ht="12.75">
      <c r="N168" t="s">
        <v>236</v>
      </c>
      <c r="O168">
        <f>3.2-0.6</f>
        <v>2.6</v>
      </c>
      <c r="P168">
        <f>O168/0.22</f>
        <v>11.818181818181818</v>
      </c>
    </row>
    <row r="169" spans="16:18" ht="12.75">
      <c r="P169">
        <v>16</v>
      </c>
      <c r="R169">
        <f>1.3/0.22</f>
        <v>5.909090909090909</v>
      </c>
    </row>
    <row r="170" ht="13.5" thickBot="1">
      <c r="M170" t="s">
        <v>56</v>
      </c>
    </row>
    <row r="171" spans="13:15" ht="12.75">
      <c r="M171" s="101">
        <v>4</v>
      </c>
      <c r="N171" s="33">
        <v>4</v>
      </c>
      <c r="O171" s="103">
        <f>M171*N171</f>
        <v>16</v>
      </c>
    </row>
    <row r="172" spans="13:15" ht="13.5" thickBot="1">
      <c r="M172" s="69">
        <v>0.25</v>
      </c>
      <c r="N172" s="37">
        <v>0.59</v>
      </c>
      <c r="O172" s="71">
        <f>M172*N172</f>
        <v>0.1475</v>
      </c>
    </row>
    <row r="173" spans="15:17" ht="12.75">
      <c r="O173">
        <f>O171*O172</f>
        <v>2.36</v>
      </c>
      <c r="P173">
        <v>122</v>
      </c>
      <c r="Q173" s="24">
        <f>O173*P173</f>
        <v>287.91999999999996</v>
      </c>
    </row>
  </sheetData>
  <autoFilter ref="A1:O148"/>
  <printOptions/>
  <pageMargins left="0.21" right="0.15" top="0.29" bottom="0.34" header="0.23" footer="0.2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workbookViewId="0" topLeftCell="A1">
      <pane ySplit="2" topLeftCell="BM128" activePane="bottomLeft" state="frozen"/>
      <selection pane="topLeft" activeCell="A1" sqref="A1"/>
      <selection pane="bottomLeft" activeCell="G168" sqref="G168"/>
    </sheetView>
  </sheetViews>
  <sheetFormatPr defaultColWidth="9.00390625" defaultRowHeight="12.75"/>
  <cols>
    <col min="1" max="1" width="5.25390625" style="0" customWidth="1"/>
    <col min="2" max="2" width="32.75390625" style="0" customWidth="1"/>
    <col min="3" max="3" width="7.625" style="0" customWidth="1"/>
    <col min="4" max="4" width="6.75390625" style="0" customWidth="1"/>
    <col min="5" max="5" width="9.875" style="0" customWidth="1"/>
    <col min="6" max="6" width="7.625" style="0" customWidth="1"/>
    <col min="7" max="7" width="6.75390625" style="0" customWidth="1"/>
    <col min="8" max="8" width="7.25390625" style="0" customWidth="1"/>
    <col min="9" max="9" width="6.125" style="0" customWidth="1"/>
    <col min="10" max="10" width="10.75390625" style="0" customWidth="1"/>
    <col min="11" max="11" width="5.375" style="0" customWidth="1"/>
    <col min="12" max="12" width="8.75390625" style="0" customWidth="1"/>
    <col min="13" max="14" width="5.125" style="0" customWidth="1"/>
    <col min="15" max="15" width="6.25390625" style="0" customWidth="1"/>
    <col min="16" max="16" width="5.125" style="0" customWidth="1"/>
  </cols>
  <sheetData>
    <row r="1" spans="3:12" ht="13.5" thickBot="1">
      <c r="C1" s="173"/>
      <c r="D1" s="324" t="s">
        <v>78</v>
      </c>
      <c r="E1" s="325"/>
      <c r="F1" s="49"/>
      <c r="G1" s="50" t="s">
        <v>301</v>
      </c>
      <c r="H1" s="48"/>
      <c r="I1" t="s">
        <v>307</v>
      </c>
      <c r="K1" s="224" t="s">
        <v>309</v>
      </c>
      <c r="L1" s="225" t="s">
        <v>310</v>
      </c>
    </row>
    <row r="2" spans="1:15" ht="13.5" thickBot="1">
      <c r="A2" s="305" t="s">
        <v>0</v>
      </c>
      <c r="B2" s="198" t="s">
        <v>123</v>
      </c>
      <c r="C2" s="198" t="s">
        <v>60</v>
      </c>
      <c r="D2" s="198" t="s">
        <v>4</v>
      </c>
      <c r="E2" s="198" t="s">
        <v>61</v>
      </c>
      <c r="F2" s="198" t="s">
        <v>60</v>
      </c>
      <c r="G2" s="198" t="s">
        <v>4</v>
      </c>
      <c r="H2" s="216" t="s">
        <v>143</v>
      </c>
      <c r="J2" s="326" t="s">
        <v>142</v>
      </c>
      <c r="K2" s="188"/>
      <c r="L2" s="188"/>
      <c r="M2" s="188"/>
      <c r="N2" s="188"/>
      <c r="O2" s="188"/>
    </row>
    <row r="3" spans="1:15" ht="13.5" thickBot="1">
      <c r="A3" s="306">
        <v>1</v>
      </c>
      <c r="B3" s="341" t="s">
        <v>55</v>
      </c>
      <c r="C3" s="287">
        <v>1320</v>
      </c>
      <c r="D3" s="287">
        <v>1</v>
      </c>
      <c r="E3" s="307">
        <f aca="true" t="shared" si="0" ref="E3:E10">C3*D3</f>
        <v>1320</v>
      </c>
      <c r="F3" s="289">
        <v>1320</v>
      </c>
      <c r="G3" s="287">
        <v>1</v>
      </c>
      <c r="H3" s="288">
        <v>1320</v>
      </c>
      <c r="J3" s="327">
        <f>SUM(H3:H154)</f>
        <v>9234.958</v>
      </c>
      <c r="K3" s="328"/>
      <c r="L3" s="329"/>
      <c r="M3" s="329"/>
      <c r="N3" s="328"/>
      <c r="O3" s="329"/>
    </row>
    <row r="4" spans="1:8" ht="12.75">
      <c r="A4" s="166">
        <v>2</v>
      </c>
      <c r="B4" s="342" t="s">
        <v>302</v>
      </c>
      <c r="C4" s="290">
        <v>690</v>
      </c>
      <c r="D4" s="290">
        <v>1</v>
      </c>
      <c r="E4" s="308">
        <f t="shared" si="0"/>
        <v>690</v>
      </c>
      <c r="F4" s="292">
        <v>690</v>
      </c>
      <c r="G4" s="293">
        <v>1</v>
      </c>
      <c r="H4" s="291">
        <v>690</v>
      </c>
    </row>
    <row r="5" spans="1:8" ht="12.75">
      <c r="A5" s="166">
        <v>3</v>
      </c>
      <c r="B5" s="343" t="s">
        <v>53</v>
      </c>
      <c r="C5" s="294">
        <v>525</v>
      </c>
      <c r="D5" s="294">
        <v>1</v>
      </c>
      <c r="E5" s="295">
        <f t="shared" si="0"/>
        <v>525</v>
      </c>
      <c r="F5" s="296">
        <v>270</v>
      </c>
      <c r="G5" s="297">
        <v>1</v>
      </c>
      <c r="H5" s="291">
        <f>F5*G5</f>
        <v>270</v>
      </c>
    </row>
    <row r="6" spans="1:8" ht="12.75">
      <c r="A6" s="166">
        <v>4</v>
      </c>
      <c r="B6" s="342" t="s">
        <v>59</v>
      </c>
      <c r="C6" s="290">
        <v>440</v>
      </c>
      <c r="D6" s="290">
        <v>1</v>
      </c>
      <c r="E6" s="308">
        <f t="shared" si="0"/>
        <v>440</v>
      </c>
      <c r="F6" s="292">
        <v>440</v>
      </c>
      <c r="G6" s="293">
        <v>1</v>
      </c>
      <c r="H6" s="291">
        <f>F6*G6</f>
        <v>440</v>
      </c>
    </row>
    <row r="7" spans="1:8" ht="13.5" thickBot="1">
      <c r="A7" s="304">
        <v>5</v>
      </c>
      <c r="B7" s="344" t="s">
        <v>58</v>
      </c>
      <c r="C7" s="299">
        <v>900</v>
      </c>
      <c r="D7" s="299">
        <v>1</v>
      </c>
      <c r="E7" s="309">
        <f t="shared" si="0"/>
        <v>900</v>
      </c>
      <c r="F7" s="300">
        <v>900</v>
      </c>
      <c r="G7" s="299">
        <v>1</v>
      </c>
      <c r="H7" s="298">
        <v>870</v>
      </c>
    </row>
    <row r="8" spans="1:8" ht="13.5" thickBot="1">
      <c r="A8" s="330"/>
      <c r="B8" s="331" t="s">
        <v>308</v>
      </c>
      <c r="C8" s="332"/>
      <c r="D8" s="332"/>
      <c r="E8" s="333"/>
      <c r="F8" s="334"/>
      <c r="G8" s="332"/>
      <c r="H8" s="335"/>
    </row>
    <row r="9" spans="1:8" ht="12.75">
      <c r="A9" s="303">
        <v>1</v>
      </c>
      <c r="B9" s="247" t="s">
        <v>124</v>
      </c>
      <c r="C9" s="285">
        <v>210</v>
      </c>
      <c r="D9" s="285">
        <v>5</v>
      </c>
      <c r="E9" s="286">
        <f t="shared" si="0"/>
        <v>1050</v>
      </c>
      <c r="F9" s="247">
        <v>210</v>
      </c>
      <c r="G9" s="285">
        <v>5</v>
      </c>
      <c r="H9" s="270">
        <f>F9*G9</f>
        <v>1050</v>
      </c>
    </row>
    <row r="10" spans="1:8" ht="12.75">
      <c r="A10" s="303">
        <v>2</v>
      </c>
      <c r="B10" s="238" t="s">
        <v>125</v>
      </c>
      <c r="C10" s="239">
        <v>33</v>
      </c>
      <c r="D10" s="239">
        <v>5</v>
      </c>
      <c r="E10" s="241">
        <f t="shared" si="0"/>
        <v>165</v>
      </c>
      <c r="F10" s="238"/>
      <c r="G10" s="239">
        <v>5</v>
      </c>
      <c r="H10" s="240">
        <v>155</v>
      </c>
    </row>
    <row r="11" spans="1:8" ht="12.75">
      <c r="A11" s="303">
        <v>3</v>
      </c>
      <c r="B11" s="238" t="s">
        <v>52</v>
      </c>
      <c r="C11" s="239">
        <v>25</v>
      </c>
      <c r="D11" s="239">
        <v>1</v>
      </c>
      <c r="E11" s="241">
        <f aca="true" t="shared" si="1" ref="E11:E65">C11*D11</f>
        <v>25</v>
      </c>
      <c r="F11" s="238">
        <v>25</v>
      </c>
      <c r="G11" s="239">
        <v>1</v>
      </c>
      <c r="H11" s="240">
        <f aca="true" t="shared" si="2" ref="H11:H154">F11*G11</f>
        <v>25</v>
      </c>
    </row>
    <row r="12" spans="1:8" ht="12.75">
      <c r="A12" s="303">
        <v>4</v>
      </c>
      <c r="B12" s="238" t="s">
        <v>96</v>
      </c>
      <c r="C12" s="239">
        <v>210</v>
      </c>
      <c r="D12" s="239">
        <v>2</v>
      </c>
      <c r="E12" s="241">
        <f>C12*D12</f>
        <v>420</v>
      </c>
      <c r="F12" s="238">
        <v>275</v>
      </c>
      <c r="G12" s="239">
        <v>2</v>
      </c>
      <c r="H12" s="240">
        <f t="shared" si="2"/>
        <v>550</v>
      </c>
    </row>
    <row r="13" spans="1:8" ht="12.75">
      <c r="A13" s="303">
        <v>5</v>
      </c>
      <c r="B13" s="238" t="s">
        <v>205</v>
      </c>
      <c r="C13" s="239"/>
      <c r="D13" s="239"/>
      <c r="E13" s="241"/>
      <c r="F13" s="245">
        <v>3</v>
      </c>
      <c r="G13" s="239">
        <v>3</v>
      </c>
      <c r="H13" s="240">
        <f t="shared" si="2"/>
        <v>9</v>
      </c>
    </row>
    <row r="14" spans="1:8" ht="12.75">
      <c r="A14" s="303">
        <v>6</v>
      </c>
      <c r="B14" s="238" t="s">
        <v>206</v>
      </c>
      <c r="C14" s="239"/>
      <c r="D14" s="239"/>
      <c r="E14" s="241"/>
      <c r="F14" s="245">
        <v>6.6</v>
      </c>
      <c r="G14" s="239">
        <v>0.4</v>
      </c>
      <c r="H14" s="242">
        <f t="shared" si="2"/>
        <v>2.64</v>
      </c>
    </row>
    <row r="15" spans="1:8" ht="12.75">
      <c r="A15" s="303">
        <v>7</v>
      </c>
      <c r="B15" s="238" t="s">
        <v>207</v>
      </c>
      <c r="C15" s="239"/>
      <c r="D15" s="239"/>
      <c r="E15" s="241"/>
      <c r="F15" s="245">
        <v>5.5</v>
      </c>
      <c r="G15" s="239">
        <v>0.4</v>
      </c>
      <c r="H15" s="242">
        <f t="shared" si="2"/>
        <v>2.2</v>
      </c>
    </row>
    <row r="16" spans="1:8" ht="12.75">
      <c r="A16" s="303">
        <v>8</v>
      </c>
      <c r="B16" s="238" t="s">
        <v>91</v>
      </c>
      <c r="C16" s="239">
        <v>40</v>
      </c>
      <c r="D16" s="239">
        <v>2</v>
      </c>
      <c r="E16" s="241">
        <f>C16*D16</f>
        <v>80</v>
      </c>
      <c r="F16" s="238">
        <v>40</v>
      </c>
      <c r="G16" s="239">
        <v>2</v>
      </c>
      <c r="H16" s="240">
        <f t="shared" si="2"/>
        <v>80</v>
      </c>
    </row>
    <row r="17" spans="1:8" ht="12.75">
      <c r="A17" s="303">
        <v>9</v>
      </c>
      <c r="B17" s="238" t="s">
        <v>152</v>
      </c>
      <c r="C17" s="239">
        <v>20</v>
      </c>
      <c r="D17" s="239">
        <v>2</v>
      </c>
      <c r="E17" s="241">
        <f t="shared" si="1"/>
        <v>40</v>
      </c>
      <c r="F17" s="238">
        <v>27</v>
      </c>
      <c r="G17" s="239">
        <v>2</v>
      </c>
      <c r="H17" s="240">
        <f t="shared" si="2"/>
        <v>54</v>
      </c>
    </row>
    <row r="18" spans="1:8" ht="12.75">
      <c r="A18" s="303">
        <v>10</v>
      </c>
      <c r="B18" s="238" t="s">
        <v>51</v>
      </c>
      <c r="C18" s="242">
        <v>0.4</v>
      </c>
      <c r="D18" s="239">
        <v>70</v>
      </c>
      <c r="E18" s="241">
        <f t="shared" si="1"/>
        <v>28</v>
      </c>
      <c r="F18" s="245">
        <v>0.38</v>
      </c>
      <c r="G18" s="239">
        <v>70</v>
      </c>
      <c r="H18" s="242">
        <f t="shared" si="2"/>
        <v>26.6</v>
      </c>
    </row>
    <row r="19" spans="1:8" ht="12.75">
      <c r="A19" s="303">
        <v>11</v>
      </c>
      <c r="B19" s="238" t="s">
        <v>51</v>
      </c>
      <c r="C19" s="242"/>
      <c r="D19" s="239"/>
      <c r="E19" s="241"/>
      <c r="F19" s="245">
        <v>0.38</v>
      </c>
      <c r="G19" s="239">
        <v>40</v>
      </c>
      <c r="H19" s="242">
        <f>F19*G19</f>
        <v>15.2</v>
      </c>
    </row>
    <row r="20" spans="1:8" ht="12.75">
      <c r="A20" s="303">
        <v>12</v>
      </c>
      <c r="B20" s="238" t="s">
        <v>289</v>
      </c>
      <c r="C20" s="269"/>
      <c r="D20" s="239"/>
      <c r="E20" s="241"/>
      <c r="F20" s="245">
        <v>0.76</v>
      </c>
      <c r="G20" s="239">
        <v>5</v>
      </c>
      <c r="H20" s="242">
        <f>F20*G20</f>
        <v>3.8</v>
      </c>
    </row>
    <row r="21" spans="1:8" ht="12.75">
      <c r="A21" s="303">
        <v>13</v>
      </c>
      <c r="B21" s="238" t="s">
        <v>137</v>
      </c>
      <c r="C21" s="239">
        <v>4</v>
      </c>
      <c r="D21" s="239">
        <v>6</v>
      </c>
      <c r="E21" s="241">
        <f t="shared" si="1"/>
        <v>24</v>
      </c>
      <c r="F21" s="245">
        <v>4.7</v>
      </c>
      <c r="G21" s="239">
        <v>9</v>
      </c>
      <c r="H21" s="242">
        <f t="shared" si="2"/>
        <v>42.300000000000004</v>
      </c>
    </row>
    <row r="22" spans="1:8" ht="12.75">
      <c r="A22" s="303">
        <v>14</v>
      </c>
      <c r="B22" s="250" t="s">
        <v>131</v>
      </c>
      <c r="C22" s="251">
        <v>0.025</v>
      </c>
      <c r="D22" s="252">
        <v>150</v>
      </c>
      <c r="E22" s="253">
        <f t="shared" si="1"/>
        <v>3.75</v>
      </c>
      <c r="F22" s="254">
        <v>0.025</v>
      </c>
      <c r="G22" s="252">
        <v>200</v>
      </c>
      <c r="H22" s="255">
        <f t="shared" si="2"/>
        <v>5</v>
      </c>
    </row>
    <row r="23" spans="1:8" ht="12.75">
      <c r="A23" s="303">
        <v>15</v>
      </c>
      <c r="B23" s="250" t="s">
        <v>264</v>
      </c>
      <c r="C23" s="251">
        <v>0.03</v>
      </c>
      <c r="D23" s="252">
        <v>50</v>
      </c>
      <c r="E23" s="253">
        <f>C23*D23</f>
        <v>1.5</v>
      </c>
      <c r="F23" s="254">
        <v>0.05</v>
      </c>
      <c r="G23" s="252">
        <v>40</v>
      </c>
      <c r="H23" s="255">
        <f t="shared" si="2"/>
        <v>2</v>
      </c>
    </row>
    <row r="24" spans="1:8" ht="12.75">
      <c r="A24" s="303">
        <v>16</v>
      </c>
      <c r="B24" s="250" t="s">
        <v>132</v>
      </c>
      <c r="C24" s="251">
        <v>0.06</v>
      </c>
      <c r="D24" s="252">
        <v>100</v>
      </c>
      <c r="E24" s="253">
        <f t="shared" si="1"/>
        <v>6</v>
      </c>
      <c r="F24" s="254">
        <v>0.06</v>
      </c>
      <c r="G24" s="252">
        <v>200</v>
      </c>
      <c r="H24" s="255">
        <f t="shared" si="2"/>
        <v>12</v>
      </c>
    </row>
    <row r="25" spans="1:8" ht="12.75">
      <c r="A25" s="303">
        <v>17</v>
      </c>
      <c r="B25" s="250" t="s">
        <v>139</v>
      </c>
      <c r="C25" s="251">
        <v>0.45</v>
      </c>
      <c r="D25" s="252">
        <v>22</v>
      </c>
      <c r="E25" s="253">
        <f>C25*D25</f>
        <v>9.9</v>
      </c>
      <c r="F25" s="254">
        <v>0.45</v>
      </c>
      <c r="G25" s="252">
        <v>22</v>
      </c>
      <c r="H25" s="255">
        <f t="shared" si="2"/>
        <v>9.9</v>
      </c>
    </row>
    <row r="26" spans="1:8" ht="12.75">
      <c r="A26" s="303">
        <v>18</v>
      </c>
      <c r="B26" s="250" t="s">
        <v>50</v>
      </c>
      <c r="C26" s="251">
        <v>3.3</v>
      </c>
      <c r="D26" s="252">
        <v>27</v>
      </c>
      <c r="E26" s="253">
        <f t="shared" si="1"/>
        <v>89.1</v>
      </c>
      <c r="F26" s="254">
        <v>3.3</v>
      </c>
      <c r="G26" s="252">
        <v>27</v>
      </c>
      <c r="H26" s="255">
        <f t="shared" si="2"/>
        <v>89.1</v>
      </c>
    </row>
    <row r="27" spans="1:8" ht="12.75">
      <c r="A27" s="303">
        <v>19</v>
      </c>
      <c r="B27" s="238" t="s">
        <v>133</v>
      </c>
      <c r="C27" s="242">
        <v>1.6</v>
      </c>
      <c r="D27" s="239">
        <v>28</v>
      </c>
      <c r="E27" s="241">
        <f t="shared" si="1"/>
        <v>44.800000000000004</v>
      </c>
      <c r="F27" s="245">
        <v>1.6</v>
      </c>
      <c r="G27" s="239">
        <v>30</v>
      </c>
      <c r="H27" s="242">
        <f t="shared" si="2"/>
        <v>48</v>
      </c>
    </row>
    <row r="28" spans="1:8" ht="12.75">
      <c r="A28" s="303">
        <v>20</v>
      </c>
      <c r="B28" s="238" t="s">
        <v>183</v>
      </c>
      <c r="C28" s="242">
        <v>5</v>
      </c>
      <c r="D28" s="239">
        <v>6</v>
      </c>
      <c r="E28" s="241">
        <f t="shared" si="1"/>
        <v>30</v>
      </c>
      <c r="F28" s="245">
        <v>3.8</v>
      </c>
      <c r="G28" s="239">
        <v>6</v>
      </c>
      <c r="H28" s="242">
        <f t="shared" si="2"/>
        <v>22.799999999999997</v>
      </c>
    </row>
    <row r="29" spans="1:8" ht="12.75">
      <c r="A29" s="303">
        <v>21</v>
      </c>
      <c r="B29" s="238" t="s">
        <v>134</v>
      </c>
      <c r="C29" s="239">
        <v>1</v>
      </c>
      <c r="D29" s="239">
        <v>30</v>
      </c>
      <c r="E29" s="241">
        <f t="shared" si="1"/>
        <v>30</v>
      </c>
      <c r="F29" s="238">
        <v>1</v>
      </c>
      <c r="G29" s="239">
        <v>30</v>
      </c>
      <c r="H29" s="242">
        <f t="shared" si="2"/>
        <v>30</v>
      </c>
    </row>
    <row r="30" spans="1:8" ht="12.75">
      <c r="A30" s="303">
        <v>22</v>
      </c>
      <c r="B30" s="238" t="s">
        <v>208</v>
      </c>
      <c r="C30" s="239"/>
      <c r="D30" s="239"/>
      <c r="E30" s="241"/>
      <c r="F30" s="245">
        <v>0.3</v>
      </c>
      <c r="G30" s="239">
        <v>15</v>
      </c>
      <c r="H30" s="242">
        <f t="shared" si="2"/>
        <v>4.5</v>
      </c>
    </row>
    <row r="31" spans="1:8" ht="12.75">
      <c r="A31" s="303">
        <v>23</v>
      </c>
      <c r="B31" s="238" t="s">
        <v>209</v>
      </c>
      <c r="C31" s="239">
        <v>25</v>
      </c>
      <c r="D31" s="239">
        <v>2</v>
      </c>
      <c r="E31" s="241">
        <f t="shared" si="1"/>
        <v>50</v>
      </c>
      <c r="F31" s="245">
        <v>29</v>
      </c>
      <c r="G31" s="239">
        <v>2</v>
      </c>
      <c r="H31" s="242">
        <f t="shared" si="2"/>
        <v>58</v>
      </c>
    </row>
    <row r="32" spans="1:8" ht="12.75">
      <c r="A32" s="303">
        <v>24</v>
      </c>
      <c r="B32" s="238" t="s">
        <v>209</v>
      </c>
      <c r="C32" s="239"/>
      <c r="D32" s="239"/>
      <c r="E32" s="241"/>
      <c r="F32" s="245">
        <v>24</v>
      </c>
      <c r="G32" s="239">
        <v>1</v>
      </c>
      <c r="H32" s="242">
        <f>F32*G32</f>
        <v>24</v>
      </c>
    </row>
    <row r="33" spans="1:8" ht="12.75">
      <c r="A33" s="303">
        <v>25</v>
      </c>
      <c r="B33" s="238" t="s">
        <v>135</v>
      </c>
      <c r="C33" s="239">
        <v>10</v>
      </c>
      <c r="D33" s="239">
        <v>1</v>
      </c>
      <c r="E33" s="241">
        <f t="shared" si="1"/>
        <v>10</v>
      </c>
      <c r="F33" s="238">
        <v>12</v>
      </c>
      <c r="G33" s="239">
        <v>1</v>
      </c>
      <c r="H33" s="242">
        <f t="shared" si="2"/>
        <v>12</v>
      </c>
    </row>
    <row r="34" spans="1:8" ht="12.75">
      <c r="A34" s="303">
        <v>26</v>
      </c>
      <c r="B34" s="238" t="s">
        <v>138</v>
      </c>
      <c r="C34" s="239">
        <v>2</v>
      </c>
      <c r="D34" s="239">
        <v>2</v>
      </c>
      <c r="E34" s="241">
        <f t="shared" si="1"/>
        <v>4</v>
      </c>
      <c r="F34" s="245">
        <v>1.8</v>
      </c>
      <c r="G34" s="239">
        <v>2</v>
      </c>
      <c r="H34" s="242">
        <f t="shared" si="2"/>
        <v>3.6</v>
      </c>
    </row>
    <row r="35" spans="1:8" ht="12.75">
      <c r="A35" s="303">
        <v>27</v>
      </c>
      <c r="B35" s="238" t="s">
        <v>182</v>
      </c>
      <c r="C35" s="239">
        <v>20</v>
      </c>
      <c r="D35" s="239">
        <v>1</v>
      </c>
      <c r="E35" s="241">
        <f t="shared" si="1"/>
        <v>20</v>
      </c>
      <c r="F35" s="238">
        <v>19</v>
      </c>
      <c r="G35" s="239">
        <v>1</v>
      </c>
      <c r="H35" s="242">
        <f t="shared" si="2"/>
        <v>19</v>
      </c>
    </row>
    <row r="36" spans="1:8" ht="12.75">
      <c r="A36" s="303">
        <v>28</v>
      </c>
      <c r="B36" s="238" t="s">
        <v>300</v>
      </c>
      <c r="C36" s="239">
        <v>1</v>
      </c>
      <c r="D36" s="239">
        <v>12</v>
      </c>
      <c r="E36" s="241">
        <f>C36*D36</f>
        <v>12</v>
      </c>
      <c r="F36" s="245">
        <v>1</v>
      </c>
      <c r="G36" s="239">
        <v>12</v>
      </c>
      <c r="H36" s="242">
        <f t="shared" si="2"/>
        <v>12</v>
      </c>
    </row>
    <row r="37" spans="1:8" ht="12.75">
      <c r="A37" s="303">
        <v>29</v>
      </c>
      <c r="B37" s="250" t="s">
        <v>140</v>
      </c>
      <c r="C37" s="251">
        <v>4</v>
      </c>
      <c r="D37" s="252">
        <v>6</v>
      </c>
      <c r="E37" s="253">
        <f>C37*D37</f>
        <v>24</v>
      </c>
      <c r="F37" s="254">
        <v>4.3</v>
      </c>
      <c r="G37" s="252">
        <v>6</v>
      </c>
      <c r="H37" s="255">
        <f t="shared" si="2"/>
        <v>25.799999999999997</v>
      </c>
    </row>
    <row r="38" spans="1:8" ht="12.75">
      <c r="A38" s="303">
        <v>30</v>
      </c>
      <c r="B38" s="250" t="s">
        <v>190</v>
      </c>
      <c r="C38" s="251">
        <v>5</v>
      </c>
      <c r="D38" s="252">
        <v>1</v>
      </c>
      <c r="E38" s="253">
        <f>C38*D38</f>
        <v>5</v>
      </c>
      <c r="F38" s="254">
        <v>4.9</v>
      </c>
      <c r="G38" s="252">
        <v>1</v>
      </c>
      <c r="H38" s="255">
        <f t="shared" si="2"/>
        <v>4.9</v>
      </c>
    </row>
    <row r="39" spans="1:8" ht="12.75">
      <c r="A39" s="303">
        <v>31</v>
      </c>
      <c r="B39" s="250" t="s">
        <v>191</v>
      </c>
      <c r="C39" s="251">
        <v>25</v>
      </c>
      <c r="D39" s="252">
        <v>2</v>
      </c>
      <c r="E39" s="253">
        <f>C39*D39</f>
        <v>50</v>
      </c>
      <c r="F39" s="254">
        <v>16</v>
      </c>
      <c r="G39" s="252">
        <v>2</v>
      </c>
      <c r="H39" s="255">
        <f t="shared" si="2"/>
        <v>32</v>
      </c>
    </row>
    <row r="40" spans="1:8" ht="12.75">
      <c r="A40" s="303">
        <v>32</v>
      </c>
      <c r="B40" s="238" t="s">
        <v>40</v>
      </c>
      <c r="C40" s="239">
        <v>25</v>
      </c>
      <c r="D40" s="239">
        <v>1</v>
      </c>
      <c r="E40" s="241">
        <f t="shared" si="1"/>
        <v>25</v>
      </c>
      <c r="F40" s="245">
        <v>15.8</v>
      </c>
      <c r="G40" s="239">
        <v>1</v>
      </c>
      <c r="H40" s="242">
        <f t="shared" si="2"/>
        <v>15.8</v>
      </c>
    </row>
    <row r="41" spans="1:8" ht="12.75">
      <c r="A41" s="303">
        <v>33</v>
      </c>
      <c r="B41" s="238" t="s">
        <v>144</v>
      </c>
      <c r="C41" s="239">
        <v>11</v>
      </c>
      <c r="D41" s="239">
        <v>6</v>
      </c>
      <c r="E41" s="241">
        <f>C41*D41</f>
        <v>66</v>
      </c>
      <c r="F41" s="238">
        <v>32</v>
      </c>
      <c r="G41" s="244">
        <v>1.5</v>
      </c>
      <c r="H41" s="242">
        <f t="shared" si="2"/>
        <v>48</v>
      </c>
    </row>
    <row r="42" spans="1:8" ht="12.75">
      <c r="A42" s="303">
        <v>34</v>
      </c>
      <c r="B42" s="238" t="s">
        <v>144</v>
      </c>
      <c r="C42" s="239"/>
      <c r="D42" s="239"/>
      <c r="E42" s="241"/>
      <c r="F42" s="238">
        <v>32</v>
      </c>
      <c r="G42" s="244">
        <v>1</v>
      </c>
      <c r="H42" s="242">
        <f>F42*G42</f>
        <v>32</v>
      </c>
    </row>
    <row r="43" spans="1:8" ht="12.75">
      <c r="A43" s="303">
        <v>35</v>
      </c>
      <c r="B43" s="238" t="s">
        <v>163</v>
      </c>
      <c r="C43" s="239">
        <v>6</v>
      </c>
      <c r="D43" s="239">
        <v>1</v>
      </c>
      <c r="E43" s="241">
        <f>C43*D43</f>
        <v>6</v>
      </c>
      <c r="F43" s="245">
        <v>3.7</v>
      </c>
      <c r="G43" s="239">
        <v>1</v>
      </c>
      <c r="H43" s="242">
        <f>F43*G43</f>
        <v>3.7</v>
      </c>
    </row>
    <row r="44" spans="1:8" ht="12.75">
      <c r="A44" s="303">
        <v>36</v>
      </c>
      <c r="B44" s="238" t="s">
        <v>184</v>
      </c>
      <c r="C44" s="244">
        <v>6.5</v>
      </c>
      <c r="D44" s="239">
        <v>6</v>
      </c>
      <c r="E44" s="241">
        <f>C44*D44</f>
        <v>39</v>
      </c>
      <c r="F44" s="245">
        <v>6.5</v>
      </c>
      <c r="G44" s="239">
        <v>6</v>
      </c>
      <c r="H44" s="242">
        <f t="shared" si="2"/>
        <v>39</v>
      </c>
    </row>
    <row r="45" spans="1:8" ht="12.75">
      <c r="A45" s="303">
        <v>37</v>
      </c>
      <c r="B45" s="238" t="s">
        <v>277</v>
      </c>
      <c r="C45" s="244"/>
      <c r="D45" s="239"/>
      <c r="E45" s="241"/>
      <c r="F45" s="245">
        <v>0.25</v>
      </c>
      <c r="G45" s="239">
        <v>6</v>
      </c>
      <c r="H45" s="242">
        <f t="shared" si="2"/>
        <v>1.5</v>
      </c>
    </row>
    <row r="46" spans="1:8" ht="12.75">
      <c r="A46" s="303">
        <v>38</v>
      </c>
      <c r="B46" s="238" t="s">
        <v>189</v>
      </c>
      <c r="C46" s="239">
        <v>3</v>
      </c>
      <c r="D46" s="239">
        <v>6</v>
      </c>
      <c r="E46" s="241">
        <f>C46*D46</f>
        <v>18</v>
      </c>
      <c r="F46" s="238">
        <v>3</v>
      </c>
      <c r="G46" s="239">
        <v>4</v>
      </c>
      <c r="H46" s="242">
        <f t="shared" si="2"/>
        <v>12</v>
      </c>
    </row>
    <row r="47" spans="1:8" ht="12.75">
      <c r="A47" s="303">
        <v>39</v>
      </c>
      <c r="B47" s="238" t="s">
        <v>210</v>
      </c>
      <c r="C47" s="239"/>
      <c r="D47" s="239"/>
      <c r="E47" s="241"/>
      <c r="F47" s="245">
        <v>4.5</v>
      </c>
      <c r="G47" s="239">
        <v>1</v>
      </c>
      <c r="H47" s="242">
        <f t="shared" si="2"/>
        <v>4.5</v>
      </c>
    </row>
    <row r="48" spans="1:8" ht="12.75">
      <c r="A48" s="303">
        <v>40</v>
      </c>
      <c r="B48" s="238" t="s">
        <v>210</v>
      </c>
      <c r="C48" s="239"/>
      <c r="D48" s="239"/>
      <c r="E48" s="241"/>
      <c r="F48" s="245">
        <v>1</v>
      </c>
      <c r="G48" s="239">
        <v>2</v>
      </c>
      <c r="H48" s="242">
        <f>F48*G48</f>
        <v>2</v>
      </c>
    </row>
    <row r="49" spans="1:8" ht="12.75">
      <c r="A49" s="303">
        <v>41</v>
      </c>
      <c r="B49" s="238" t="s">
        <v>147</v>
      </c>
      <c r="C49" s="244">
        <v>0.5</v>
      </c>
      <c r="D49" s="239">
        <v>20</v>
      </c>
      <c r="E49" s="241">
        <f>C49*D49</f>
        <v>10</v>
      </c>
      <c r="F49" s="245">
        <v>0.3</v>
      </c>
      <c r="G49" s="239">
        <v>20</v>
      </c>
      <c r="H49" s="242">
        <f t="shared" si="2"/>
        <v>6</v>
      </c>
    </row>
    <row r="50" spans="1:8" ht="12.75">
      <c r="A50" s="303">
        <v>42</v>
      </c>
      <c r="B50" s="238" t="s">
        <v>203</v>
      </c>
      <c r="C50" s="239">
        <v>11</v>
      </c>
      <c r="D50" s="239">
        <v>3</v>
      </c>
      <c r="E50" s="241">
        <f t="shared" si="1"/>
        <v>33</v>
      </c>
      <c r="F50" s="238">
        <v>10</v>
      </c>
      <c r="G50" s="239">
        <v>3</v>
      </c>
      <c r="H50" s="242">
        <f t="shared" si="2"/>
        <v>30</v>
      </c>
    </row>
    <row r="51" spans="1:8" ht="12.75">
      <c r="A51" s="303">
        <v>43</v>
      </c>
      <c r="B51" s="238" t="s">
        <v>188</v>
      </c>
      <c r="C51" s="239">
        <v>4</v>
      </c>
      <c r="D51" s="239">
        <v>6</v>
      </c>
      <c r="E51" s="241">
        <f t="shared" si="1"/>
        <v>24</v>
      </c>
      <c r="F51" s="245">
        <v>2.8</v>
      </c>
      <c r="G51" s="239">
        <v>8</v>
      </c>
      <c r="H51" s="242">
        <f t="shared" si="2"/>
        <v>22.4</v>
      </c>
    </row>
    <row r="52" spans="1:8" ht="12.75">
      <c r="A52" s="303">
        <v>44</v>
      </c>
      <c r="B52" s="238" t="s">
        <v>145</v>
      </c>
      <c r="C52" s="239">
        <v>14</v>
      </c>
      <c r="D52" s="239">
        <v>2</v>
      </c>
      <c r="E52" s="241">
        <f t="shared" si="1"/>
        <v>28</v>
      </c>
      <c r="F52" s="238">
        <v>15</v>
      </c>
      <c r="G52" s="239">
        <v>2</v>
      </c>
      <c r="H52" s="242">
        <f t="shared" si="2"/>
        <v>30</v>
      </c>
    </row>
    <row r="53" spans="1:8" ht="12.75">
      <c r="A53" s="303">
        <v>45</v>
      </c>
      <c r="B53" s="238" t="s">
        <v>149</v>
      </c>
      <c r="C53" s="244">
        <v>0.25</v>
      </c>
      <c r="D53" s="239">
        <v>36</v>
      </c>
      <c r="E53" s="241">
        <f t="shared" si="1"/>
        <v>9</v>
      </c>
      <c r="F53" s="245">
        <v>0.04</v>
      </c>
      <c r="G53" s="239">
        <v>50</v>
      </c>
      <c r="H53" s="242">
        <f t="shared" si="2"/>
        <v>2</v>
      </c>
    </row>
    <row r="54" spans="1:8" ht="12.75">
      <c r="A54" s="303">
        <v>46</v>
      </c>
      <c r="B54" s="238" t="s">
        <v>151</v>
      </c>
      <c r="C54" s="244">
        <v>0.25</v>
      </c>
      <c r="D54" s="239">
        <v>24</v>
      </c>
      <c r="E54" s="241">
        <f t="shared" si="1"/>
        <v>6</v>
      </c>
      <c r="F54" s="245">
        <v>0.1</v>
      </c>
      <c r="G54" s="239">
        <v>24</v>
      </c>
      <c r="H54" s="242">
        <f t="shared" si="2"/>
        <v>2.4000000000000004</v>
      </c>
    </row>
    <row r="55" spans="1:8" ht="12.75">
      <c r="A55" s="303">
        <v>47</v>
      </c>
      <c r="B55" s="238" t="s">
        <v>211</v>
      </c>
      <c r="C55" s="244">
        <v>1.5</v>
      </c>
      <c r="D55" s="239">
        <v>14</v>
      </c>
      <c r="E55" s="241">
        <f t="shared" si="1"/>
        <v>21</v>
      </c>
      <c r="F55" s="245">
        <v>1.5</v>
      </c>
      <c r="G55" s="239">
        <v>16</v>
      </c>
      <c r="H55" s="242">
        <f t="shared" si="2"/>
        <v>24</v>
      </c>
    </row>
    <row r="56" spans="1:8" ht="12.75">
      <c r="A56" s="303">
        <v>48</v>
      </c>
      <c r="B56" s="250" t="s">
        <v>165</v>
      </c>
      <c r="C56" s="251">
        <v>5</v>
      </c>
      <c r="D56" s="252">
        <v>2</v>
      </c>
      <c r="E56" s="253">
        <f t="shared" si="1"/>
        <v>10</v>
      </c>
      <c r="F56" s="254">
        <v>2.1</v>
      </c>
      <c r="G56" s="252">
        <v>2</v>
      </c>
      <c r="H56" s="255">
        <f t="shared" si="2"/>
        <v>4.2</v>
      </c>
    </row>
    <row r="57" spans="1:8" ht="12.75">
      <c r="A57" s="303">
        <v>49</v>
      </c>
      <c r="B57" s="238" t="s">
        <v>197</v>
      </c>
      <c r="C57" s="239">
        <v>10</v>
      </c>
      <c r="D57" s="239">
        <v>2</v>
      </c>
      <c r="E57" s="241">
        <f t="shared" si="1"/>
        <v>20</v>
      </c>
      <c r="F57" s="238">
        <v>16</v>
      </c>
      <c r="G57" s="239">
        <v>0</v>
      </c>
      <c r="H57" s="242">
        <f t="shared" si="2"/>
        <v>0</v>
      </c>
    </row>
    <row r="58" spans="1:8" ht="12.75">
      <c r="A58" s="303">
        <v>50</v>
      </c>
      <c r="B58" s="250" t="s">
        <v>227</v>
      </c>
      <c r="C58" s="252"/>
      <c r="D58" s="252"/>
      <c r="E58" s="253">
        <f t="shared" si="1"/>
        <v>0</v>
      </c>
      <c r="F58" s="254">
        <v>5.9</v>
      </c>
      <c r="G58" s="252">
        <v>2</v>
      </c>
      <c r="H58" s="255">
        <f t="shared" si="2"/>
        <v>11.8</v>
      </c>
    </row>
    <row r="59" spans="1:8" ht="12.75">
      <c r="A59" s="303">
        <v>51</v>
      </c>
      <c r="B59" s="250" t="s">
        <v>127</v>
      </c>
      <c r="C59" s="251">
        <v>0.7</v>
      </c>
      <c r="D59" s="252">
        <v>15</v>
      </c>
      <c r="E59" s="253">
        <v>10.5</v>
      </c>
      <c r="F59" s="254">
        <v>0.2</v>
      </c>
      <c r="G59" s="252">
        <v>20</v>
      </c>
      <c r="H59" s="255">
        <f t="shared" si="2"/>
        <v>4</v>
      </c>
    </row>
    <row r="60" spans="1:16" ht="12.75">
      <c r="A60" s="303">
        <v>52</v>
      </c>
      <c r="B60" s="250" t="s">
        <v>127</v>
      </c>
      <c r="C60" s="251"/>
      <c r="D60" s="252"/>
      <c r="E60" s="253"/>
      <c r="F60" s="254">
        <v>0.3</v>
      </c>
      <c r="G60" s="252">
        <v>20</v>
      </c>
      <c r="H60" s="255">
        <f t="shared" si="2"/>
        <v>6</v>
      </c>
      <c r="I60" s="60"/>
      <c r="J60" s="60"/>
      <c r="K60" s="60"/>
      <c r="L60" s="60"/>
      <c r="M60" s="60"/>
      <c r="N60" s="60"/>
      <c r="O60" s="60"/>
      <c r="P60" s="60"/>
    </row>
    <row r="61" spans="1:16" ht="12.75">
      <c r="A61" s="303">
        <v>53</v>
      </c>
      <c r="B61" s="250" t="s">
        <v>127</v>
      </c>
      <c r="C61" s="251"/>
      <c r="D61" s="252"/>
      <c r="E61" s="253"/>
      <c r="F61" s="254">
        <v>0.12</v>
      </c>
      <c r="G61" s="252">
        <v>80</v>
      </c>
      <c r="H61" s="255">
        <f>F61*G61</f>
        <v>9.6</v>
      </c>
      <c r="I61" s="60"/>
      <c r="J61" s="60"/>
      <c r="K61" s="60"/>
      <c r="L61" s="60"/>
      <c r="M61" s="60"/>
      <c r="N61" s="60"/>
      <c r="O61" s="60"/>
      <c r="P61" s="60"/>
    </row>
    <row r="62" spans="1:16" ht="12.75">
      <c r="A62" s="303">
        <v>54</v>
      </c>
      <c r="B62" s="238" t="s">
        <v>219</v>
      </c>
      <c r="C62" s="239">
        <v>8</v>
      </c>
      <c r="D62" s="239">
        <v>4</v>
      </c>
      <c r="E62" s="241">
        <f t="shared" si="1"/>
        <v>32</v>
      </c>
      <c r="F62" s="238">
        <v>8</v>
      </c>
      <c r="G62" s="239">
        <v>4</v>
      </c>
      <c r="H62" s="242">
        <f t="shared" si="2"/>
        <v>32</v>
      </c>
      <c r="I62" s="60"/>
      <c r="J62" s="60"/>
      <c r="K62" s="60"/>
      <c r="L62" s="60"/>
      <c r="M62" s="60"/>
      <c r="N62" s="60"/>
      <c r="O62" s="60"/>
      <c r="P62" s="60"/>
    </row>
    <row r="63" spans="1:16" ht="12.75">
      <c r="A63" s="303">
        <v>55</v>
      </c>
      <c r="B63" s="238" t="s">
        <v>248</v>
      </c>
      <c r="C63" s="239"/>
      <c r="D63" s="239"/>
      <c r="E63" s="241"/>
      <c r="F63" s="245">
        <v>0.05</v>
      </c>
      <c r="G63" s="239">
        <v>200</v>
      </c>
      <c r="H63" s="242">
        <f t="shared" si="2"/>
        <v>10</v>
      </c>
      <c r="I63" s="60"/>
      <c r="J63" s="60"/>
      <c r="K63" s="60"/>
      <c r="L63" s="60"/>
      <c r="M63" s="60"/>
      <c r="N63" s="60"/>
      <c r="O63" s="60"/>
      <c r="P63" s="60"/>
    </row>
    <row r="64" spans="1:16" ht="12.75">
      <c r="A64" s="303">
        <v>56</v>
      </c>
      <c r="B64" s="176" t="s">
        <v>196</v>
      </c>
      <c r="C64" s="175">
        <v>30</v>
      </c>
      <c r="D64" s="167">
        <v>2</v>
      </c>
      <c r="E64" s="168">
        <f t="shared" si="1"/>
        <v>60</v>
      </c>
      <c r="F64" s="176"/>
      <c r="G64" s="167"/>
      <c r="H64" s="243">
        <f t="shared" si="2"/>
        <v>0</v>
      </c>
      <c r="I64" s="60"/>
      <c r="J64" s="60"/>
      <c r="K64" s="60"/>
      <c r="L64" s="60"/>
      <c r="M64" s="60"/>
      <c r="N64" s="60"/>
      <c r="O64" s="60"/>
      <c r="P64" s="60"/>
    </row>
    <row r="65" spans="1:16" ht="12.75">
      <c r="A65" s="303">
        <v>57</v>
      </c>
      <c r="B65" s="238" t="s">
        <v>195</v>
      </c>
      <c r="C65" s="239">
        <v>2</v>
      </c>
      <c r="D65" s="239">
        <v>1</v>
      </c>
      <c r="E65" s="241">
        <f t="shared" si="1"/>
        <v>2</v>
      </c>
      <c r="F65" s="245">
        <v>2.5</v>
      </c>
      <c r="G65" s="239">
        <v>1</v>
      </c>
      <c r="H65" s="242">
        <f t="shared" si="2"/>
        <v>2.5</v>
      </c>
      <c r="I65" s="60"/>
      <c r="J65" s="60"/>
      <c r="K65" s="60"/>
      <c r="L65" s="60"/>
      <c r="M65" s="60"/>
      <c r="N65" s="60"/>
      <c r="O65" s="60"/>
      <c r="P65" s="60"/>
    </row>
    <row r="66" spans="1:16" ht="12.75">
      <c r="A66" s="303">
        <v>58</v>
      </c>
      <c r="B66" s="247" t="s">
        <v>212</v>
      </c>
      <c r="C66" s="239"/>
      <c r="D66" s="239"/>
      <c r="E66" s="241"/>
      <c r="F66" s="245">
        <v>6.5</v>
      </c>
      <c r="G66" s="239">
        <v>1</v>
      </c>
      <c r="H66" s="242">
        <f t="shared" si="2"/>
        <v>6.5</v>
      </c>
      <c r="I66" s="60"/>
      <c r="J66" s="60"/>
      <c r="K66" s="60"/>
      <c r="L66" s="60"/>
      <c r="M66" s="60"/>
      <c r="N66" s="345"/>
      <c r="O66" s="60"/>
      <c r="P66" s="60"/>
    </row>
    <row r="67" spans="1:16" ht="12.75">
      <c r="A67" s="303">
        <v>59</v>
      </c>
      <c r="B67" s="247"/>
      <c r="C67" s="284"/>
      <c r="D67" s="284"/>
      <c r="E67" s="310"/>
      <c r="F67" s="312"/>
      <c r="G67" s="284"/>
      <c r="H67" s="313"/>
      <c r="I67" s="60"/>
      <c r="J67" s="60"/>
      <c r="K67" s="60"/>
      <c r="L67" s="60"/>
      <c r="M67" s="60"/>
      <c r="N67" s="60"/>
      <c r="O67" s="60"/>
      <c r="P67" s="60"/>
    </row>
    <row r="68" spans="1:16" ht="12.75">
      <c r="A68" s="303">
        <v>60</v>
      </c>
      <c r="B68" s="238" t="s">
        <v>213</v>
      </c>
      <c r="C68" s="239"/>
      <c r="D68" s="239"/>
      <c r="E68" s="241"/>
      <c r="F68" s="245">
        <v>6.5</v>
      </c>
      <c r="G68" s="239">
        <v>2</v>
      </c>
      <c r="H68" s="242">
        <f t="shared" si="2"/>
        <v>13</v>
      </c>
      <c r="I68" s="60"/>
      <c r="J68" s="60"/>
      <c r="K68" s="60"/>
      <c r="L68" s="60"/>
      <c r="M68" s="60"/>
      <c r="N68" s="60"/>
      <c r="O68" s="60"/>
      <c r="P68" s="60"/>
    </row>
    <row r="69" spans="1:16" ht="12.75">
      <c r="A69" s="303">
        <v>61</v>
      </c>
      <c r="B69" s="301" t="s">
        <v>148</v>
      </c>
      <c r="C69" s="302">
        <v>1</v>
      </c>
      <c r="D69" s="302">
        <v>30</v>
      </c>
      <c r="E69" s="215">
        <f>C69*D69</f>
        <v>30</v>
      </c>
      <c r="F69" s="301">
        <v>1</v>
      </c>
      <c r="G69" s="302">
        <v>0</v>
      </c>
      <c r="H69" s="248">
        <f t="shared" si="2"/>
        <v>0</v>
      </c>
      <c r="I69" s="60"/>
      <c r="J69" s="60"/>
      <c r="K69" s="60"/>
      <c r="L69" s="60"/>
      <c r="M69" s="60"/>
      <c r="N69" s="60"/>
      <c r="O69" s="60"/>
      <c r="P69" s="60"/>
    </row>
    <row r="70" spans="1:16" ht="12.75">
      <c r="A70" s="303">
        <v>62</v>
      </c>
      <c r="B70" s="238" t="s">
        <v>49</v>
      </c>
      <c r="C70" s="239">
        <v>192</v>
      </c>
      <c r="D70" s="244">
        <f>Размеры!O101</f>
        <v>4.570288</v>
      </c>
      <c r="E70" s="241">
        <f>C70*D70</f>
        <v>877.4952959999999</v>
      </c>
      <c r="F70" s="238">
        <v>192</v>
      </c>
      <c r="G70" s="239">
        <v>4.57</v>
      </c>
      <c r="H70" s="249">
        <f t="shared" si="2"/>
        <v>877.44</v>
      </c>
      <c r="I70" s="60"/>
      <c r="J70" s="60"/>
      <c r="K70" s="60"/>
      <c r="L70" s="60"/>
      <c r="M70" s="60"/>
      <c r="N70" s="60"/>
      <c r="O70" s="60"/>
      <c r="P70" s="60"/>
    </row>
    <row r="71" spans="1:8" ht="12.75">
      <c r="A71" s="303">
        <v>63</v>
      </c>
      <c r="B71" s="238" t="s">
        <v>291</v>
      </c>
      <c r="C71" s="239"/>
      <c r="D71" s="244"/>
      <c r="E71" s="241"/>
      <c r="F71" s="238">
        <v>35</v>
      </c>
      <c r="G71" s="239">
        <v>1</v>
      </c>
      <c r="H71" s="242">
        <f t="shared" si="2"/>
        <v>35</v>
      </c>
    </row>
    <row r="72" spans="1:8" ht="12.75">
      <c r="A72" s="303">
        <v>64</v>
      </c>
      <c r="B72" s="238" t="s">
        <v>290</v>
      </c>
      <c r="C72" s="163"/>
      <c r="D72" s="163"/>
      <c r="E72" s="311"/>
      <c r="F72" s="245">
        <v>11</v>
      </c>
      <c r="G72" s="239">
        <v>1</v>
      </c>
      <c r="H72" s="242">
        <f t="shared" si="2"/>
        <v>11</v>
      </c>
    </row>
    <row r="73" spans="1:8" ht="12.75">
      <c r="A73" s="303">
        <v>65</v>
      </c>
      <c r="B73" s="247" t="s">
        <v>150</v>
      </c>
      <c r="C73" s="285">
        <v>70</v>
      </c>
      <c r="D73" s="164">
        <v>1</v>
      </c>
      <c r="E73" s="286">
        <v>70</v>
      </c>
      <c r="F73" s="247">
        <v>41</v>
      </c>
      <c r="G73" s="164">
        <v>1</v>
      </c>
      <c r="H73" s="249">
        <f>F73*G73</f>
        <v>41</v>
      </c>
    </row>
    <row r="74" spans="1:8" ht="12.75">
      <c r="A74" s="303">
        <v>66</v>
      </c>
      <c r="B74" s="238" t="s">
        <v>295</v>
      </c>
      <c r="C74" s="239"/>
      <c r="D74" s="163"/>
      <c r="E74" s="241"/>
      <c r="F74" s="238">
        <v>39</v>
      </c>
      <c r="G74" s="163">
        <v>1</v>
      </c>
      <c r="H74" s="242">
        <f>F74*G74</f>
        <v>39</v>
      </c>
    </row>
    <row r="75" spans="1:8" ht="12.75">
      <c r="A75" s="303">
        <v>67</v>
      </c>
      <c r="B75" s="273" t="s">
        <v>294</v>
      </c>
      <c r="C75" s="275"/>
      <c r="D75" s="317"/>
      <c r="E75" s="318"/>
      <c r="F75" s="273">
        <v>3</v>
      </c>
      <c r="G75" s="317">
        <v>4</v>
      </c>
      <c r="H75" s="319">
        <f>F75*G75</f>
        <v>12</v>
      </c>
    </row>
    <row r="76" spans="1:8" ht="12.75">
      <c r="A76" s="303">
        <v>68</v>
      </c>
      <c r="B76" s="238" t="s">
        <v>130</v>
      </c>
      <c r="C76" s="239">
        <v>15</v>
      </c>
      <c r="D76" s="239">
        <v>5</v>
      </c>
      <c r="E76" s="241">
        <f>C76*D76</f>
        <v>75</v>
      </c>
      <c r="F76" s="245">
        <v>11.5</v>
      </c>
      <c r="G76" s="239">
        <v>4</v>
      </c>
      <c r="H76" s="242">
        <f>F76*G76</f>
        <v>46</v>
      </c>
    </row>
    <row r="77" spans="1:8" ht="13.5" thickBot="1">
      <c r="A77" s="303">
        <v>69</v>
      </c>
      <c r="B77" s="320" t="s">
        <v>296</v>
      </c>
      <c r="C77" s="321"/>
      <c r="D77" s="321"/>
      <c r="E77" s="322"/>
      <c r="F77" s="323">
        <v>28</v>
      </c>
      <c r="G77" s="321">
        <v>1</v>
      </c>
      <c r="H77" s="316">
        <f>F77*G77</f>
        <v>28</v>
      </c>
    </row>
    <row r="78" spans="1:8" s="60" customFormat="1" ht="13.5" thickBot="1">
      <c r="A78" s="330"/>
      <c r="B78" s="340" t="s">
        <v>311</v>
      </c>
      <c r="C78" s="336"/>
      <c r="D78" s="336"/>
      <c r="E78" s="337"/>
      <c r="F78" s="338"/>
      <c r="G78" s="336"/>
      <c r="H78" s="339"/>
    </row>
    <row r="79" spans="1:8" ht="12.75">
      <c r="A79" s="303">
        <v>1</v>
      </c>
      <c r="B79" s="247" t="s">
        <v>57</v>
      </c>
      <c r="C79" s="285">
        <v>50</v>
      </c>
      <c r="D79" s="285">
        <v>4</v>
      </c>
      <c r="E79" s="286">
        <f>C79*D79</f>
        <v>200</v>
      </c>
      <c r="F79" s="247">
        <v>40</v>
      </c>
      <c r="G79" s="285">
        <v>2</v>
      </c>
      <c r="H79" s="249">
        <f t="shared" si="2"/>
        <v>80</v>
      </c>
    </row>
    <row r="80" spans="1:8" ht="12.75">
      <c r="A80" s="303">
        <v>2</v>
      </c>
      <c r="B80" s="238" t="s">
        <v>270</v>
      </c>
      <c r="C80" s="239"/>
      <c r="D80" s="239"/>
      <c r="E80" s="241"/>
      <c r="F80" s="238">
        <v>15</v>
      </c>
      <c r="G80" s="239">
        <v>1</v>
      </c>
      <c r="H80" s="249">
        <f t="shared" si="2"/>
        <v>15</v>
      </c>
    </row>
    <row r="81" spans="1:8" ht="12.75">
      <c r="A81" s="303">
        <v>3</v>
      </c>
      <c r="B81" s="238" t="s">
        <v>146</v>
      </c>
      <c r="C81" s="239">
        <v>69</v>
      </c>
      <c r="D81" s="239">
        <v>3.7</v>
      </c>
      <c r="E81" s="241">
        <f>C81*D81</f>
        <v>255.3</v>
      </c>
      <c r="F81" s="238">
        <v>64</v>
      </c>
      <c r="G81" s="239">
        <v>5</v>
      </c>
      <c r="H81" s="249">
        <f t="shared" si="2"/>
        <v>320</v>
      </c>
    </row>
    <row r="82" spans="1:8" ht="12.75">
      <c r="A82" s="303">
        <v>4</v>
      </c>
      <c r="B82" s="273" t="s">
        <v>260</v>
      </c>
      <c r="C82" s="244"/>
      <c r="D82" s="239"/>
      <c r="E82" s="269"/>
      <c r="F82" s="274">
        <v>5</v>
      </c>
      <c r="G82" s="275">
        <v>3</v>
      </c>
      <c r="H82" s="242">
        <f>F82*G82</f>
        <v>15</v>
      </c>
    </row>
    <row r="83" spans="1:8" ht="12.75">
      <c r="A83" s="303">
        <v>5</v>
      </c>
      <c r="B83" s="238" t="s">
        <v>292</v>
      </c>
      <c r="C83" s="239"/>
      <c r="D83" s="239"/>
      <c r="E83" s="241"/>
      <c r="F83" s="238">
        <v>16</v>
      </c>
      <c r="G83" s="239">
        <v>1.2</v>
      </c>
      <c r="H83" s="249">
        <f t="shared" si="2"/>
        <v>19.2</v>
      </c>
    </row>
    <row r="84" spans="1:8" ht="12.75">
      <c r="A84" s="303">
        <v>6</v>
      </c>
      <c r="B84" s="238" t="s">
        <v>230</v>
      </c>
      <c r="C84" s="239"/>
      <c r="D84" s="239"/>
      <c r="E84" s="241"/>
      <c r="F84" s="238">
        <v>14</v>
      </c>
      <c r="G84" s="239">
        <v>1</v>
      </c>
      <c r="H84" s="249">
        <f t="shared" si="2"/>
        <v>14</v>
      </c>
    </row>
    <row r="85" spans="1:8" ht="12.75">
      <c r="A85" s="303">
        <v>7</v>
      </c>
      <c r="B85" s="238" t="s">
        <v>230</v>
      </c>
      <c r="C85" s="239"/>
      <c r="D85" s="239"/>
      <c r="E85" s="241"/>
      <c r="F85" s="238">
        <v>13</v>
      </c>
      <c r="G85" s="239">
        <v>1</v>
      </c>
      <c r="H85" s="249">
        <f>F85*G85</f>
        <v>13</v>
      </c>
    </row>
    <row r="86" spans="1:8" ht="12.75">
      <c r="A86" s="303">
        <v>8</v>
      </c>
      <c r="B86" s="238" t="s">
        <v>56</v>
      </c>
      <c r="C86" s="239">
        <v>125</v>
      </c>
      <c r="D86" s="244">
        <v>2.5</v>
      </c>
      <c r="E86" s="241">
        <f>C86*D86</f>
        <v>312.5</v>
      </c>
      <c r="F86" s="238">
        <v>126</v>
      </c>
      <c r="G86" s="244">
        <v>2.453</v>
      </c>
      <c r="H86" s="240">
        <f t="shared" si="2"/>
        <v>309.078</v>
      </c>
    </row>
    <row r="87" spans="1:8" ht="12.75">
      <c r="A87" s="303">
        <v>9</v>
      </c>
      <c r="B87" s="238" t="s">
        <v>235</v>
      </c>
      <c r="C87" s="239"/>
      <c r="D87" s="244"/>
      <c r="E87" s="241"/>
      <c r="F87" s="238">
        <v>20</v>
      </c>
      <c r="G87" s="239">
        <v>1</v>
      </c>
      <c r="H87" s="240">
        <f t="shared" si="2"/>
        <v>20</v>
      </c>
    </row>
    <row r="88" spans="1:8" ht="12.75">
      <c r="A88" s="303">
        <v>10</v>
      </c>
      <c r="B88" s="238" t="s">
        <v>217</v>
      </c>
      <c r="C88" s="239">
        <v>25</v>
      </c>
      <c r="D88" s="239">
        <v>1</v>
      </c>
      <c r="E88" s="241">
        <f>C88*D88</f>
        <v>25</v>
      </c>
      <c r="F88" s="238">
        <v>25</v>
      </c>
      <c r="G88" s="239">
        <v>1</v>
      </c>
      <c r="H88" s="249">
        <f t="shared" si="2"/>
        <v>25</v>
      </c>
    </row>
    <row r="89" spans="1:8" ht="12.75">
      <c r="A89" s="303">
        <v>11</v>
      </c>
      <c r="B89" s="238" t="s">
        <v>247</v>
      </c>
      <c r="C89" s="239"/>
      <c r="D89" s="239"/>
      <c r="E89" s="241"/>
      <c r="F89" s="245">
        <v>2.5</v>
      </c>
      <c r="G89" s="239">
        <v>1</v>
      </c>
      <c r="H89" s="249">
        <f t="shared" si="2"/>
        <v>2.5</v>
      </c>
    </row>
    <row r="90" spans="1:8" ht="12.75">
      <c r="A90" s="303">
        <v>12</v>
      </c>
      <c r="B90" s="238" t="s">
        <v>218</v>
      </c>
      <c r="C90" s="239">
        <v>15</v>
      </c>
      <c r="D90" s="239">
        <v>1</v>
      </c>
      <c r="E90" s="241">
        <f>C90*D90</f>
        <v>15</v>
      </c>
      <c r="F90" s="238">
        <v>12</v>
      </c>
      <c r="G90" s="239">
        <v>1</v>
      </c>
      <c r="H90" s="249">
        <f t="shared" si="2"/>
        <v>12</v>
      </c>
    </row>
    <row r="91" spans="1:8" ht="12.75">
      <c r="A91" s="303">
        <v>13</v>
      </c>
      <c r="B91" s="238" t="s">
        <v>231</v>
      </c>
      <c r="C91" s="239"/>
      <c r="D91" s="239"/>
      <c r="E91" s="241">
        <v>12</v>
      </c>
      <c r="F91" s="238">
        <v>6</v>
      </c>
      <c r="G91" s="239">
        <v>2</v>
      </c>
      <c r="H91" s="249">
        <f t="shared" si="2"/>
        <v>12</v>
      </c>
    </row>
    <row r="92" spans="1:8" ht="12.75">
      <c r="A92" s="303">
        <v>14</v>
      </c>
      <c r="B92" s="238" t="s">
        <v>249</v>
      </c>
      <c r="C92" s="239"/>
      <c r="D92" s="239"/>
      <c r="E92" s="241"/>
      <c r="F92" s="238">
        <v>9</v>
      </c>
      <c r="G92" s="239">
        <v>2</v>
      </c>
      <c r="H92" s="249">
        <f t="shared" si="2"/>
        <v>18</v>
      </c>
    </row>
    <row r="93" spans="1:8" ht="12.75">
      <c r="A93" s="303">
        <v>15</v>
      </c>
      <c r="B93" s="238" t="s">
        <v>257</v>
      </c>
      <c r="C93" s="239"/>
      <c r="D93" s="239"/>
      <c r="E93" s="241"/>
      <c r="F93" s="238">
        <v>33</v>
      </c>
      <c r="G93" s="239">
        <v>2</v>
      </c>
      <c r="H93" s="249">
        <f>F93*G93</f>
        <v>66</v>
      </c>
    </row>
    <row r="94" spans="1:12" ht="12.75">
      <c r="A94" s="303">
        <v>16</v>
      </c>
      <c r="B94" s="238" t="s">
        <v>268</v>
      </c>
      <c r="C94" s="239"/>
      <c r="D94" s="239"/>
      <c r="E94" s="241"/>
      <c r="F94" s="238">
        <v>4</v>
      </c>
      <c r="G94" s="239">
        <v>1</v>
      </c>
      <c r="H94" s="249">
        <f>F94*G94</f>
        <v>4</v>
      </c>
      <c r="J94" s="60"/>
      <c r="K94" s="60"/>
      <c r="L94" s="60"/>
    </row>
    <row r="95" spans="1:12" ht="12.75">
      <c r="A95" s="303">
        <v>17</v>
      </c>
      <c r="B95" s="238" t="s">
        <v>250</v>
      </c>
      <c r="C95" s="239"/>
      <c r="D95" s="239"/>
      <c r="E95" s="241"/>
      <c r="F95" s="238">
        <v>8</v>
      </c>
      <c r="G95" s="239">
        <v>1</v>
      </c>
      <c r="H95" s="249">
        <f t="shared" si="2"/>
        <v>8</v>
      </c>
      <c r="J95" s="60"/>
      <c r="K95" s="60"/>
      <c r="L95" s="60"/>
    </row>
    <row r="96" spans="1:12" ht="12.75">
      <c r="A96" s="303">
        <v>18</v>
      </c>
      <c r="B96" s="238" t="s">
        <v>251</v>
      </c>
      <c r="C96" s="239"/>
      <c r="D96" s="239"/>
      <c r="E96" s="241"/>
      <c r="F96" s="238">
        <v>7</v>
      </c>
      <c r="G96" s="239">
        <v>1</v>
      </c>
      <c r="H96" s="249">
        <f t="shared" si="2"/>
        <v>7</v>
      </c>
      <c r="J96" s="60"/>
      <c r="K96" s="60"/>
      <c r="L96" s="60"/>
    </row>
    <row r="97" spans="1:12" ht="12.75">
      <c r="A97" s="303">
        <v>19</v>
      </c>
      <c r="B97" s="238" t="s">
        <v>259</v>
      </c>
      <c r="C97" s="239">
        <v>30</v>
      </c>
      <c r="D97" s="239">
        <v>2</v>
      </c>
      <c r="E97" s="241">
        <f>C97*D97</f>
        <v>60</v>
      </c>
      <c r="F97" s="238">
        <v>32</v>
      </c>
      <c r="G97" s="239">
        <v>1</v>
      </c>
      <c r="H97" s="249">
        <f t="shared" si="2"/>
        <v>32</v>
      </c>
      <c r="J97" s="60"/>
      <c r="K97" s="60"/>
      <c r="L97" s="60"/>
    </row>
    <row r="98" spans="1:12" ht="12.75">
      <c r="A98" s="303">
        <v>20</v>
      </c>
      <c r="B98" s="238" t="s">
        <v>126</v>
      </c>
      <c r="C98" s="239"/>
      <c r="D98" s="239"/>
      <c r="E98" s="241">
        <v>5</v>
      </c>
      <c r="F98" s="245">
        <v>1.25</v>
      </c>
      <c r="G98" s="239">
        <v>4</v>
      </c>
      <c r="H98" s="240">
        <f aca="true" t="shared" si="3" ref="H98:H109">F98*G98</f>
        <v>5</v>
      </c>
      <c r="J98" s="60"/>
      <c r="K98" s="60"/>
      <c r="L98" s="60"/>
    </row>
    <row r="99" spans="1:12" ht="12.75">
      <c r="A99" s="303">
        <v>21</v>
      </c>
      <c r="B99" s="238" t="s">
        <v>241</v>
      </c>
      <c r="C99" s="239"/>
      <c r="D99" s="239"/>
      <c r="E99" s="241"/>
      <c r="F99" s="245">
        <v>2</v>
      </c>
      <c r="G99" s="239">
        <v>1</v>
      </c>
      <c r="H99" s="270">
        <f t="shared" si="3"/>
        <v>2</v>
      </c>
      <c r="J99" s="60"/>
      <c r="K99" s="60"/>
      <c r="L99" s="60"/>
    </row>
    <row r="100" spans="1:12" ht="12.75">
      <c r="A100" s="303">
        <v>22</v>
      </c>
      <c r="B100" s="238" t="s">
        <v>234</v>
      </c>
      <c r="C100" s="239"/>
      <c r="D100" s="239"/>
      <c r="E100" s="241">
        <v>20</v>
      </c>
      <c r="F100" s="245">
        <v>10</v>
      </c>
      <c r="G100" s="239">
        <v>2</v>
      </c>
      <c r="H100" s="270">
        <f t="shared" si="3"/>
        <v>20</v>
      </c>
      <c r="J100" s="60"/>
      <c r="K100" s="60"/>
      <c r="L100" s="60"/>
    </row>
    <row r="101" spans="1:12" ht="12.75">
      <c r="A101" s="303">
        <v>23</v>
      </c>
      <c r="B101" s="238" t="s">
        <v>271</v>
      </c>
      <c r="C101" s="239"/>
      <c r="D101" s="239"/>
      <c r="E101" s="241"/>
      <c r="F101" s="245"/>
      <c r="G101" s="239"/>
      <c r="H101" s="270">
        <v>54</v>
      </c>
      <c r="J101" s="60"/>
      <c r="K101" s="60"/>
      <c r="L101" s="60"/>
    </row>
    <row r="102" spans="1:12" ht="12.75">
      <c r="A102" s="303">
        <v>24</v>
      </c>
      <c r="B102" s="238" t="s">
        <v>136</v>
      </c>
      <c r="C102" s="239">
        <v>3</v>
      </c>
      <c r="D102" s="239">
        <v>2</v>
      </c>
      <c r="E102" s="241">
        <f>C102*D102</f>
        <v>6</v>
      </c>
      <c r="F102" s="245">
        <v>3</v>
      </c>
      <c r="G102" s="239">
        <v>9</v>
      </c>
      <c r="H102" s="270">
        <f>F102*G102</f>
        <v>27</v>
      </c>
      <c r="J102" s="60"/>
      <c r="K102" s="60"/>
      <c r="L102" s="60"/>
    </row>
    <row r="103" spans="1:12" ht="12.75">
      <c r="A103" s="303">
        <v>25</v>
      </c>
      <c r="B103" s="238" t="s">
        <v>141</v>
      </c>
      <c r="C103" s="239">
        <v>120</v>
      </c>
      <c r="D103" s="239">
        <v>1</v>
      </c>
      <c r="E103" s="241">
        <f>C103*D103</f>
        <v>120</v>
      </c>
      <c r="F103" s="238">
        <v>95</v>
      </c>
      <c r="G103" s="239">
        <v>1</v>
      </c>
      <c r="H103" s="249">
        <f>F103*G103</f>
        <v>95</v>
      </c>
      <c r="J103" s="60"/>
      <c r="K103" s="60"/>
      <c r="L103" s="60"/>
    </row>
    <row r="104" spans="1:12" ht="12.75">
      <c r="A104" s="303">
        <v>26</v>
      </c>
      <c r="B104" s="238" t="s">
        <v>273</v>
      </c>
      <c r="C104" s="239">
        <v>50</v>
      </c>
      <c r="D104" s="239">
        <v>1</v>
      </c>
      <c r="E104" s="241">
        <f>C104*D104</f>
        <v>50</v>
      </c>
      <c r="F104" s="245">
        <v>85</v>
      </c>
      <c r="G104" s="239">
        <v>1</v>
      </c>
      <c r="H104" s="249">
        <v>60</v>
      </c>
      <c r="J104" s="60"/>
      <c r="K104" s="60"/>
      <c r="L104" s="60"/>
    </row>
    <row r="105" spans="1:12" ht="12.75">
      <c r="A105" s="303">
        <v>27</v>
      </c>
      <c r="B105" s="238" t="s">
        <v>274</v>
      </c>
      <c r="C105" s="239"/>
      <c r="D105" s="239"/>
      <c r="E105" s="241"/>
      <c r="F105" s="245">
        <v>18</v>
      </c>
      <c r="G105" s="239">
        <v>2</v>
      </c>
      <c r="H105" s="270">
        <f>F105*G105</f>
        <v>36</v>
      </c>
      <c r="J105" s="60"/>
      <c r="K105" s="60"/>
      <c r="L105" s="60"/>
    </row>
    <row r="106" spans="1:12" ht="12.75">
      <c r="A106" s="303">
        <v>28</v>
      </c>
      <c r="B106" s="238" t="s">
        <v>276</v>
      </c>
      <c r="C106" s="239"/>
      <c r="D106" s="239"/>
      <c r="E106" s="241"/>
      <c r="F106" s="245">
        <v>4</v>
      </c>
      <c r="G106" s="245">
        <v>0.15</v>
      </c>
      <c r="H106" s="315">
        <f>F106*G106</f>
        <v>0.6</v>
      </c>
      <c r="J106" s="60"/>
      <c r="K106" s="60"/>
      <c r="L106" s="60"/>
    </row>
    <row r="107" spans="1:12" ht="12.75">
      <c r="A107" s="303">
        <v>29</v>
      </c>
      <c r="B107" s="238" t="s">
        <v>272</v>
      </c>
      <c r="C107" s="239"/>
      <c r="D107" s="239"/>
      <c r="E107" s="241"/>
      <c r="F107" s="245">
        <v>4</v>
      </c>
      <c r="G107" s="239">
        <v>2</v>
      </c>
      <c r="H107" s="270">
        <f t="shared" si="3"/>
        <v>8</v>
      </c>
      <c r="J107" s="60"/>
      <c r="K107" s="60"/>
      <c r="L107" s="60"/>
    </row>
    <row r="108" spans="1:12" ht="12.75">
      <c r="A108" s="303">
        <v>30</v>
      </c>
      <c r="B108" s="238" t="s">
        <v>275</v>
      </c>
      <c r="C108" s="239"/>
      <c r="D108" s="239"/>
      <c r="E108" s="241"/>
      <c r="F108" s="245">
        <v>6</v>
      </c>
      <c r="G108" s="239">
        <v>1</v>
      </c>
      <c r="H108" s="270">
        <f t="shared" si="3"/>
        <v>6</v>
      </c>
      <c r="J108" s="60"/>
      <c r="K108" s="60"/>
      <c r="L108" s="60"/>
    </row>
    <row r="109" spans="1:12" ht="12.75">
      <c r="A109" s="303">
        <v>31</v>
      </c>
      <c r="B109" s="238" t="s">
        <v>299</v>
      </c>
      <c r="C109" s="239"/>
      <c r="D109" s="239"/>
      <c r="E109" s="241"/>
      <c r="F109" s="245">
        <v>5</v>
      </c>
      <c r="G109" s="239">
        <v>3</v>
      </c>
      <c r="H109" s="270">
        <f t="shared" si="3"/>
        <v>15</v>
      </c>
      <c r="J109" s="60"/>
      <c r="K109" s="60"/>
      <c r="L109" s="60"/>
    </row>
    <row r="110" spans="1:12" ht="12.75">
      <c r="A110" s="303">
        <v>32</v>
      </c>
      <c r="B110" s="174" t="s">
        <v>214</v>
      </c>
      <c r="C110" s="167">
        <v>25</v>
      </c>
      <c r="D110" s="167">
        <v>1</v>
      </c>
      <c r="E110" s="168">
        <f>C110*D110</f>
        <v>25</v>
      </c>
      <c r="F110" s="271"/>
      <c r="G110" s="167"/>
      <c r="H110" s="248">
        <f t="shared" si="2"/>
        <v>0</v>
      </c>
      <c r="J110" s="60"/>
      <c r="K110" s="60"/>
      <c r="L110" s="60"/>
    </row>
    <row r="111" spans="1:12" ht="12.75">
      <c r="A111" s="303">
        <v>33</v>
      </c>
      <c r="B111" s="273" t="s">
        <v>279</v>
      </c>
      <c r="C111" s="244">
        <v>22</v>
      </c>
      <c r="D111" s="239">
        <v>2</v>
      </c>
      <c r="E111" s="269">
        <f>C111*D111</f>
        <v>44</v>
      </c>
      <c r="F111" s="274">
        <v>5.7</v>
      </c>
      <c r="G111" s="275">
        <v>3</v>
      </c>
      <c r="H111" s="242">
        <f aca="true" t="shared" si="4" ref="H111:H122">F111*G111</f>
        <v>17.1</v>
      </c>
      <c r="J111" s="60"/>
      <c r="K111" s="60"/>
      <c r="L111" s="60"/>
    </row>
    <row r="112" spans="1:12" ht="12.75">
      <c r="A112" s="303">
        <v>34</v>
      </c>
      <c r="B112" s="238" t="s">
        <v>281</v>
      </c>
      <c r="C112" s="244"/>
      <c r="D112" s="239"/>
      <c r="E112" s="269"/>
      <c r="F112" s="245">
        <v>6</v>
      </c>
      <c r="G112" s="239">
        <v>1</v>
      </c>
      <c r="H112" s="249">
        <f t="shared" si="4"/>
        <v>6</v>
      </c>
      <c r="J112" s="60"/>
      <c r="K112" s="60"/>
      <c r="L112" s="60"/>
    </row>
    <row r="113" spans="1:12" ht="12.75">
      <c r="A113" s="303">
        <v>35</v>
      </c>
      <c r="B113" s="238" t="s">
        <v>280</v>
      </c>
      <c r="C113" s="244"/>
      <c r="D113" s="239"/>
      <c r="E113" s="269"/>
      <c r="F113" s="245">
        <v>2.5</v>
      </c>
      <c r="G113" s="239">
        <v>1</v>
      </c>
      <c r="H113" s="249">
        <f t="shared" si="4"/>
        <v>2.5</v>
      </c>
      <c r="J113" s="60"/>
      <c r="K113" s="60"/>
      <c r="L113" s="60"/>
    </row>
    <row r="114" spans="1:12" ht="12.75">
      <c r="A114" s="303">
        <v>36</v>
      </c>
      <c r="B114" s="238" t="s">
        <v>282</v>
      </c>
      <c r="C114" s="244"/>
      <c r="D114" s="239"/>
      <c r="E114" s="269"/>
      <c r="F114" s="245">
        <v>10</v>
      </c>
      <c r="G114" s="239">
        <v>1</v>
      </c>
      <c r="H114" s="249">
        <f t="shared" si="4"/>
        <v>10</v>
      </c>
      <c r="J114" s="60"/>
      <c r="K114" s="60"/>
      <c r="L114" s="60"/>
    </row>
    <row r="115" spans="1:12" ht="12.75">
      <c r="A115" s="303">
        <v>37</v>
      </c>
      <c r="B115" s="238" t="s">
        <v>283</v>
      </c>
      <c r="C115" s="244"/>
      <c r="D115" s="239"/>
      <c r="E115" s="269"/>
      <c r="F115" s="245">
        <v>3</v>
      </c>
      <c r="G115" s="239">
        <v>3</v>
      </c>
      <c r="H115" s="249">
        <f t="shared" si="4"/>
        <v>9</v>
      </c>
      <c r="J115" s="60"/>
      <c r="K115" s="60"/>
      <c r="L115" s="60"/>
    </row>
    <row r="116" spans="1:12" ht="12.75">
      <c r="A116" s="303">
        <v>38</v>
      </c>
      <c r="B116" s="238" t="s">
        <v>293</v>
      </c>
      <c r="C116" s="239">
        <v>20</v>
      </c>
      <c r="D116" s="239">
        <v>1</v>
      </c>
      <c r="E116" s="241">
        <f>C116*D116</f>
        <v>20</v>
      </c>
      <c r="F116" s="238">
        <v>20</v>
      </c>
      <c r="G116" s="239">
        <v>1</v>
      </c>
      <c r="H116" s="249">
        <f t="shared" si="4"/>
        <v>20</v>
      </c>
      <c r="J116" s="60"/>
      <c r="K116" s="60"/>
      <c r="L116" s="60"/>
    </row>
    <row r="117" spans="1:12" ht="12.75">
      <c r="A117" s="303">
        <v>39</v>
      </c>
      <c r="B117" s="273" t="s">
        <v>279</v>
      </c>
      <c r="C117" s="244">
        <v>22</v>
      </c>
      <c r="D117" s="239">
        <v>2</v>
      </c>
      <c r="E117" s="269">
        <f>C117*D117</f>
        <v>44</v>
      </c>
      <c r="F117" s="274">
        <v>5.7</v>
      </c>
      <c r="G117" s="275">
        <v>3</v>
      </c>
      <c r="H117" s="242">
        <f t="shared" si="4"/>
        <v>17.1</v>
      </c>
      <c r="J117" s="60"/>
      <c r="K117" s="60"/>
      <c r="L117" s="60"/>
    </row>
    <row r="118" spans="1:12" ht="12.75">
      <c r="A118" s="303">
        <v>40</v>
      </c>
      <c r="B118" s="238" t="s">
        <v>281</v>
      </c>
      <c r="C118" s="244"/>
      <c r="D118" s="239"/>
      <c r="E118" s="269"/>
      <c r="F118" s="245">
        <v>6</v>
      </c>
      <c r="G118" s="239">
        <v>1</v>
      </c>
      <c r="H118" s="249">
        <f t="shared" si="4"/>
        <v>6</v>
      </c>
      <c r="J118" s="60"/>
      <c r="K118" s="60"/>
      <c r="L118" s="60"/>
    </row>
    <row r="119" spans="1:12" ht="12.75">
      <c r="A119" s="303">
        <v>41</v>
      </c>
      <c r="B119" s="238" t="s">
        <v>280</v>
      </c>
      <c r="C119" s="244"/>
      <c r="D119" s="239"/>
      <c r="E119" s="269"/>
      <c r="F119" s="245">
        <v>2.5</v>
      </c>
      <c r="G119" s="239">
        <v>1</v>
      </c>
      <c r="H119" s="249">
        <f t="shared" si="4"/>
        <v>2.5</v>
      </c>
      <c r="J119" s="60"/>
      <c r="K119" s="60"/>
      <c r="L119" s="60"/>
    </row>
    <row r="120" spans="1:12" ht="12.75">
      <c r="A120" s="303">
        <v>42</v>
      </c>
      <c r="B120" s="238" t="s">
        <v>282</v>
      </c>
      <c r="C120" s="244"/>
      <c r="D120" s="239"/>
      <c r="E120" s="269"/>
      <c r="F120" s="245">
        <v>10</v>
      </c>
      <c r="G120" s="239">
        <v>1</v>
      </c>
      <c r="H120" s="249">
        <f t="shared" si="4"/>
        <v>10</v>
      </c>
      <c r="J120" s="60"/>
      <c r="K120" s="60"/>
      <c r="L120" s="60"/>
    </row>
    <row r="121" spans="1:12" ht="12.75">
      <c r="A121" s="303">
        <v>43</v>
      </c>
      <c r="B121" s="238" t="s">
        <v>297</v>
      </c>
      <c r="C121" s="244"/>
      <c r="D121" s="239"/>
      <c r="E121" s="269"/>
      <c r="F121" s="245">
        <v>10</v>
      </c>
      <c r="G121" s="239">
        <v>1</v>
      </c>
      <c r="H121" s="249">
        <f t="shared" si="4"/>
        <v>10</v>
      </c>
      <c r="J121" s="60"/>
      <c r="K121" s="60"/>
      <c r="L121" s="60"/>
    </row>
    <row r="122" spans="1:8" ht="12.75">
      <c r="A122" s="303">
        <v>44</v>
      </c>
      <c r="B122" s="238" t="s">
        <v>298</v>
      </c>
      <c r="C122" s="244"/>
      <c r="D122" s="239"/>
      <c r="E122" s="269"/>
      <c r="F122" s="245">
        <v>10</v>
      </c>
      <c r="G122" s="239">
        <v>1</v>
      </c>
      <c r="H122" s="249">
        <f t="shared" si="4"/>
        <v>10</v>
      </c>
    </row>
    <row r="123" spans="1:8" ht="12.75">
      <c r="A123" s="303">
        <v>45</v>
      </c>
      <c r="B123" s="174" t="s">
        <v>215</v>
      </c>
      <c r="C123" s="167">
        <v>3</v>
      </c>
      <c r="D123" s="167">
        <v>2</v>
      </c>
      <c r="E123" s="168">
        <f>C123*D123</f>
        <v>6</v>
      </c>
      <c r="F123" s="271"/>
      <c r="G123" s="167"/>
      <c r="H123" s="248">
        <f t="shared" si="2"/>
        <v>0</v>
      </c>
    </row>
    <row r="124" spans="1:8" ht="12.75">
      <c r="A124" s="303">
        <v>46</v>
      </c>
      <c r="B124" s="238" t="s">
        <v>238</v>
      </c>
      <c r="C124" s="239"/>
      <c r="D124" s="239"/>
      <c r="E124" s="241"/>
      <c r="F124" s="245">
        <v>0.65</v>
      </c>
      <c r="G124" s="239">
        <v>10</v>
      </c>
      <c r="H124" s="249">
        <f t="shared" si="2"/>
        <v>6.5</v>
      </c>
    </row>
    <row r="125" spans="1:8" ht="12.75">
      <c r="A125" s="303">
        <v>47</v>
      </c>
      <c r="B125" s="238" t="s">
        <v>239</v>
      </c>
      <c r="C125" s="239"/>
      <c r="D125" s="239"/>
      <c r="E125" s="241"/>
      <c r="F125" s="245">
        <v>5</v>
      </c>
      <c r="G125" s="239">
        <v>1</v>
      </c>
      <c r="H125" s="249">
        <f t="shared" si="2"/>
        <v>5</v>
      </c>
    </row>
    <row r="126" spans="1:8" ht="12.75">
      <c r="A126" s="303">
        <v>48</v>
      </c>
      <c r="B126" s="238" t="s">
        <v>240</v>
      </c>
      <c r="C126" s="239"/>
      <c r="D126" s="239"/>
      <c r="E126" s="241"/>
      <c r="F126" s="245">
        <v>5</v>
      </c>
      <c r="G126" s="239">
        <v>1</v>
      </c>
      <c r="H126" s="249">
        <f t="shared" si="2"/>
        <v>5</v>
      </c>
    </row>
    <row r="127" spans="1:8" ht="12.75">
      <c r="A127" s="303">
        <v>49</v>
      </c>
      <c r="B127" s="238" t="s">
        <v>127</v>
      </c>
      <c r="C127" s="239"/>
      <c r="D127" s="239"/>
      <c r="E127" s="241"/>
      <c r="F127" s="245">
        <v>20</v>
      </c>
      <c r="G127" s="239">
        <v>0.25</v>
      </c>
      <c r="H127" s="249">
        <f t="shared" si="2"/>
        <v>5</v>
      </c>
    </row>
    <row r="128" spans="1:8" ht="12.75">
      <c r="A128" s="303">
        <v>50</v>
      </c>
      <c r="B128" s="238" t="s">
        <v>242</v>
      </c>
      <c r="C128" s="239"/>
      <c r="D128" s="239"/>
      <c r="E128" s="241"/>
      <c r="F128" s="245">
        <v>1.5</v>
      </c>
      <c r="G128" s="239">
        <v>15</v>
      </c>
      <c r="H128" s="249">
        <f t="shared" si="2"/>
        <v>22.5</v>
      </c>
    </row>
    <row r="129" spans="1:8" ht="12.75">
      <c r="A129" s="303">
        <v>51</v>
      </c>
      <c r="B129" s="238" t="s">
        <v>244</v>
      </c>
      <c r="C129" s="239"/>
      <c r="D129" s="239"/>
      <c r="E129" s="241"/>
      <c r="F129" s="245">
        <v>1.25</v>
      </c>
      <c r="G129" s="239">
        <v>3</v>
      </c>
      <c r="H129" s="249">
        <f t="shared" si="2"/>
        <v>3.75</v>
      </c>
    </row>
    <row r="130" spans="1:8" ht="12.75">
      <c r="A130" s="303">
        <v>52</v>
      </c>
      <c r="B130" s="238" t="s">
        <v>243</v>
      </c>
      <c r="C130" s="239"/>
      <c r="D130" s="239"/>
      <c r="E130" s="241"/>
      <c r="F130" s="245">
        <v>6</v>
      </c>
      <c r="G130" s="239">
        <v>3</v>
      </c>
      <c r="H130" s="249">
        <f t="shared" si="2"/>
        <v>18</v>
      </c>
    </row>
    <row r="131" spans="1:8" ht="12.75">
      <c r="A131" s="303">
        <v>53</v>
      </c>
      <c r="B131" s="238" t="s">
        <v>262</v>
      </c>
      <c r="C131" s="239"/>
      <c r="D131" s="239"/>
      <c r="E131" s="241"/>
      <c r="F131" s="245">
        <v>12</v>
      </c>
      <c r="G131" s="239">
        <v>1</v>
      </c>
      <c r="H131" s="249">
        <f t="shared" si="2"/>
        <v>12</v>
      </c>
    </row>
    <row r="132" spans="1:8" ht="12.75">
      <c r="A132" s="303">
        <v>54</v>
      </c>
      <c r="B132" s="238" t="s">
        <v>266</v>
      </c>
      <c r="C132" s="239"/>
      <c r="D132" s="239"/>
      <c r="E132" s="241"/>
      <c r="F132" s="245">
        <v>2</v>
      </c>
      <c r="G132" s="239">
        <v>1</v>
      </c>
      <c r="H132" s="249">
        <f t="shared" si="2"/>
        <v>2</v>
      </c>
    </row>
    <row r="133" spans="1:8" ht="12.75">
      <c r="A133" s="303">
        <v>55</v>
      </c>
      <c r="B133" s="238" t="s">
        <v>245</v>
      </c>
      <c r="C133" s="239"/>
      <c r="D133" s="239"/>
      <c r="E133" s="241"/>
      <c r="F133" s="245">
        <v>1.3</v>
      </c>
      <c r="G133" s="239">
        <v>13</v>
      </c>
      <c r="H133" s="249">
        <f t="shared" si="2"/>
        <v>16.900000000000002</v>
      </c>
    </row>
    <row r="134" spans="1:8" ht="12.75">
      <c r="A134" s="303">
        <v>56</v>
      </c>
      <c r="B134" s="238" t="s">
        <v>255</v>
      </c>
      <c r="C134" s="239"/>
      <c r="D134" s="239"/>
      <c r="E134" s="241"/>
      <c r="F134" s="245">
        <v>1.7</v>
      </c>
      <c r="G134" s="239">
        <v>10</v>
      </c>
      <c r="H134" s="249">
        <f>F134*G134</f>
        <v>17</v>
      </c>
    </row>
    <row r="135" spans="1:8" ht="12.75">
      <c r="A135" s="303">
        <v>57</v>
      </c>
      <c r="B135" s="238" t="s">
        <v>246</v>
      </c>
      <c r="C135" s="239"/>
      <c r="D135" s="239"/>
      <c r="E135" s="241"/>
      <c r="F135" s="245">
        <v>3</v>
      </c>
      <c r="G135" s="239">
        <v>3</v>
      </c>
      <c r="H135" s="249">
        <f t="shared" si="2"/>
        <v>9</v>
      </c>
    </row>
    <row r="136" spans="1:8" ht="12.75">
      <c r="A136" s="303">
        <v>58</v>
      </c>
      <c r="F136" s="66"/>
      <c r="G136" s="63"/>
      <c r="H136" s="67"/>
    </row>
    <row r="137" spans="1:8" ht="12.75">
      <c r="A137" s="303">
        <v>59</v>
      </c>
      <c r="B137" s="238" t="s">
        <v>232</v>
      </c>
      <c r="C137" s="239"/>
      <c r="D137" s="239"/>
      <c r="E137" s="241">
        <v>22.5</v>
      </c>
      <c r="F137" s="245">
        <v>4.5</v>
      </c>
      <c r="G137" s="239">
        <v>8.5</v>
      </c>
      <c r="H137" s="249">
        <f>F137*G137</f>
        <v>38.25</v>
      </c>
    </row>
    <row r="138" spans="1:8" ht="12.75">
      <c r="A138" s="303">
        <v>60</v>
      </c>
      <c r="B138" s="238" t="s">
        <v>263</v>
      </c>
      <c r="C138" s="239"/>
      <c r="D138" s="239"/>
      <c r="E138" s="241"/>
      <c r="F138" s="245">
        <v>0.15</v>
      </c>
      <c r="G138" s="239">
        <v>10</v>
      </c>
      <c r="H138" s="249">
        <f>F138*G138</f>
        <v>1.5</v>
      </c>
    </row>
    <row r="139" spans="1:8" ht="12.75">
      <c r="A139" s="303">
        <v>61</v>
      </c>
      <c r="B139" s="238" t="s">
        <v>233</v>
      </c>
      <c r="C139" s="239"/>
      <c r="D139" s="239"/>
      <c r="E139" s="241">
        <v>12</v>
      </c>
      <c r="F139" s="245">
        <v>1.5</v>
      </c>
      <c r="G139" s="239">
        <v>8</v>
      </c>
      <c r="H139" s="270">
        <f>F139*G139</f>
        <v>12</v>
      </c>
    </row>
    <row r="140" spans="1:8" ht="12.75">
      <c r="A140" s="303">
        <v>62</v>
      </c>
      <c r="B140" s="238" t="s">
        <v>237</v>
      </c>
      <c r="C140" s="239">
        <v>8</v>
      </c>
      <c r="D140" s="239">
        <v>1</v>
      </c>
      <c r="E140" s="269">
        <f>C140*D140</f>
        <v>8</v>
      </c>
      <c r="F140" s="238">
        <v>7</v>
      </c>
      <c r="G140" s="239">
        <v>4</v>
      </c>
      <c r="H140" s="249">
        <f t="shared" si="2"/>
        <v>28</v>
      </c>
    </row>
    <row r="141" spans="1:8" ht="12.75">
      <c r="A141" s="303">
        <v>63</v>
      </c>
      <c r="B141" s="238" t="s">
        <v>237</v>
      </c>
      <c r="C141" s="239"/>
      <c r="D141" s="239"/>
      <c r="E141" s="269"/>
      <c r="F141" s="238">
        <v>6</v>
      </c>
      <c r="G141" s="239">
        <v>1</v>
      </c>
      <c r="H141" s="249">
        <f t="shared" si="2"/>
        <v>6</v>
      </c>
    </row>
    <row r="142" spans="1:8" ht="12.75">
      <c r="A142" s="303">
        <v>64</v>
      </c>
      <c r="B142" s="238" t="s">
        <v>216</v>
      </c>
      <c r="C142" s="244">
        <v>0.5</v>
      </c>
      <c r="D142" s="239">
        <v>3</v>
      </c>
      <c r="E142" s="269">
        <f>C142*D142</f>
        <v>1.5</v>
      </c>
      <c r="F142" s="245">
        <v>0.5</v>
      </c>
      <c r="G142" s="239">
        <v>4</v>
      </c>
      <c r="H142" s="249">
        <f t="shared" si="2"/>
        <v>2</v>
      </c>
    </row>
    <row r="143" spans="1:10" ht="12.75">
      <c r="A143" s="303">
        <v>65</v>
      </c>
      <c r="B143" s="238" t="s">
        <v>258</v>
      </c>
      <c r="C143" s="244"/>
      <c r="D143" s="239"/>
      <c r="E143" s="269"/>
      <c r="F143" s="245">
        <v>8</v>
      </c>
      <c r="G143" s="239">
        <v>1</v>
      </c>
      <c r="H143" s="249">
        <f t="shared" si="2"/>
        <v>8</v>
      </c>
      <c r="J143" s="282"/>
    </row>
    <row r="144" spans="1:8" ht="12.75">
      <c r="A144" s="303">
        <v>66</v>
      </c>
      <c r="B144" s="238" t="s">
        <v>265</v>
      </c>
      <c r="C144" s="244"/>
      <c r="D144" s="239"/>
      <c r="E144" s="269"/>
      <c r="F144" s="245">
        <v>3.5</v>
      </c>
      <c r="G144" s="239">
        <v>1</v>
      </c>
      <c r="H144" s="249">
        <f t="shared" si="2"/>
        <v>3.5</v>
      </c>
    </row>
    <row r="145" spans="1:8" ht="12.75">
      <c r="A145" s="303">
        <v>67</v>
      </c>
      <c r="B145" s="238" t="s">
        <v>261</v>
      </c>
      <c r="C145" s="244"/>
      <c r="D145" s="239"/>
      <c r="E145" s="269"/>
      <c r="F145" s="245">
        <v>8</v>
      </c>
      <c r="G145" s="239">
        <v>3</v>
      </c>
      <c r="H145" s="249">
        <f t="shared" si="2"/>
        <v>24</v>
      </c>
    </row>
    <row r="146" spans="1:8" ht="12.75">
      <c r="A146" s="303">
        <v>68</v>
      </c>
      <c r="B146" s="238" t="s">
        <v>267</v>
      </c>
      <c r="C146" s="244"/>
      <c r="D146" s="239"/>
      <c r="E146" s="269"/>
      <c r="F146" s="245">
        <v>10</v>
      </c>
      <c r="G146" s="239">
        <v>1.5</v>
      </c>
      <c r="H146" s="249">
        <f t="shared" si="2"/>
        <v>15</v>
      </c>
    </row>
    <row r="147" spans="1:8" ht="12.75">
      <c r="A147" s="303">
        <v>69</v>
      </c>
      <c r="B147" s="238" t="s">
        <v>127</v>
      </c>
      <c r="C147" s="244">
        <v>0.7</v>
      </c>
      <c r="D147" s="239">
        <v>15</v>
      </c>
      <c r="E147" s="269">
        <f>C147*D147</f>
        <v>10.5</v>
      </c>
      <c r="F147" s="245">
        <v>0.7</v>
      </c>
      <c r="G147" s="239">
        <v>0</v>
      </c>
      <c r="H147" s="249">
        <f t="shared" si="2"/>
        <v>0</v>
      </c>
    </row>
    <row r="148" spans="1:8" ht="12.75">
      <c r="A148" s="303">
        <v>70</v>
      </c>
      <c r="B148" s="238" t="s">
        <v>164</v>
      </c>
      <c r="C148" s="239">
        <v>14</v>
      </c>
      <c r="D148" s="244">
        <v>1.5</v>
      </c>
      <c r="E148" s="241">
        <f>C148*D148</f>
        <v>21</v>
      </c>
      <c r="F148" s="238">
        <v>14</v>
      </c>
      <c r="G148" s="244">
        <v>0</v>
      </c>
      <c r="H148" s="249">
        <f t="shared" si="2"/>
        <v>0</v>
      </c>
    </row>
    <row r="149" spans="1:8" ht="12.75">
      <c r="A149" s="303">
        <v>71</v>
      </c>
      <c r="B149" s="238" t="s">
        <v>284</v>
      </c>
      <c r="C149" s="239"/>
      <c r="D149" s="244"/>
      <c r="E149" s="241"/>
      <c r="F149" s="238">
        <v>9</v>
      </c>
      <c r="G149" s="244">
        <v>0.6</v>
      </c>
      <c r="H149" s="249">
        <f>F149*G149</f>
        <v>5.3999999999999995</v>
      </c>
    </row>
    <row r="150" spans="1:8" ht="12.75">
      <c r="A150" s="303">
        <v>72</v>
      </c>
      <c r="B150" s="238" t="s">
        <v>166</v>
      </c>
      <c r="C150" s="239">
        <v>10</v>
      </c>
      <c r="D150" s="239">
        <v>1</v>
      </c>
      <c r="E150" s="241">
        <f>C150*D150</f>
        <v>10</v>
      </c>
      <c r="F150" s="238">
        <v>6</v>
      </c>
      <c r="G150" s="239">
        <v>1</v>
      </c>
      <c r="H150" s="249">
        <f t="shared" si="2"/>
        <v>6</v>
      </c>
    </row>
    <row r="151" spans="1:8" ht="12.75">
      <c r="A151" s="303">
        <v>73</v>
      </c>
      <c r="B151" s="238" t="s">
        <v>253</v>
      </c>
      <c r="C151" s="244"/>
      <c r="D151" s="239"/>
      <c r="E151" s="269"/>
      <c r="F151" s="245">
        <v>14</v>
      </c>
      <c r="G151" s="239">
        <v>1</v>
      </c>
      <c r="H151" s="249">
        <f t="shared" si="2"/>
        <v>14</v>
      </c>
    </row>
    <row r="152" spans="1:8" ht="12.75">
      <c r="A152" s="303">
        <v>74</v>
      </c>
      <c r="B152" s="238" t="s">
        <v>269</v>
      </c>
      <c r="C152" s="244"/>
      <c r="D152" s="239"/>
      <c r="E152" s="269"/>
      <c r="F152" s="245">
        <v>3</v>
      </c>
      <c r="G152" s="239">
        <v>1</v>
      </c>
      <c r="H152" s="249">
        <f t="shared" si="2"/>
        <v>3</v>
      </c>
    </row>
    <row r="153" spans="1:13" s="60" customFormat="1" ht="12.75">
      <c r="A153" s="303">
        <v>75</v>
      </c>
      <c r="B153" s="238" t="s">
        <v>254</v>
      </c>
      <c r="C153" s="244"/>
      <c r="D153" s="239"/>
      <c r="E153" s="269"/>
      <c r="F153" s="245">
        <v>1.8</v>
      </c>
      <c r="G153" s="239">
        <v>3</v>
      </c>
      <c r="H153" s="249">
        <f t="shared" si="2"/>
        <v>5.4</v>
      </c>
      <c r="J153"/>
      <c r="K153"/>
      <c r="L153"/>
      <c r="M153"/>
    </row>
    <row r="154" spans="1:13" s="60" customFormat="1" ht="12.75">
      <c r="A154" s="303">
        <v>76</v>
      </c>
      <c r="B154" s="238" t="s">
        <v>256</v>
      </c>
      <c r="C154" s="239"/>
      <c r="D154" s="239"/>
      <c r="E154" s="241"/>
      <c r="F154" s="238">
        <v>1.5</v>
      </c>
      <c r="G154" s="239">
        <v>10</v>
      </c>
      <c r="H154" s="249">
        <f t="shared" si="2"/>
        <v>15</v>
      </c>
      <c r="J154"/>
      <c r="K154"/>
      <c r="L154"/>
      <c r="M154"/>
    </row>
    <row r="155" spans="1:13" s="60" customFormat="1" ht="12.75">
      <c r="A155" s="277"/>
      <c r="C155" s="278"/>
      <c r="D155" s="175"/>
      <c r="E155" s="279"/>
      <c r="F155" s="280"/>
      <c r="G155" s="175"/>
      <c r="H155" s="281">
        <f aca="true" t="shared" si="5" ref="H155:H160">F155*G155</f>
        <v>0</v>
      </c>
      <c r="J155"/>
      <c r="K155"/>
      <c r="L155"/>
      <c r="M155"/>
    </row>
    <row r="156" spans="1:13" ht="12.75">
      <c r="A156" s="166"/>
      <c r="B156" s="238" t="s">
        <v>288</v>
      </c>
      <c r="C156" s="244"/>
      <c r="D156" s="239"/>
      <c r="E156" s="269"/>
      <c r="F156" s="245">
        <v>4</v>
      </c>
      <c r="G156" s="239">
        <v>1</v>
      </c>
      <c r="H156" s="249">
        <f t="shared" si="5"/>
        <v>4</v>
      </c>
      <c r="J156" s="60"/>
      <c r="K156" s="60"/>
      <c r="L156" s="60"/>
      <c r="M156" s="60"/>
    </row>
    <row r="157" spans="1:13" ht="12.75">
      <c r="A157" s="166"/>
      <c r="B157" s="238" t="s">
        <v>287</v>
      </c>
      <c r="C157" s="244"/>
      <c r="D157" s="239"/>
      <c r="E157" s="269"/>
      <c r="F157" s="245">
        <v>120</v>
      </c>
      <c r="G157" s="239">
        <v>1</v>
      </c>
      <c r="H157" s="249">
        <f t="shared" si="5"/>
        <v>120</v>
      </c>
      <c r="J157" s="60"/>
      <c r="K157" s="60"/>
      <c r="L157" s="60"/>
      <c r="M157" s="60"/>
    </row>
    <row r="158" spans="1:13" ht="12.75">
      <c r="A158" s="272"/>
      <c r="B158" s="238" t="s">
        <v>285</v>
      </c>
      <c r="C158" s="244"/>
      <c r="D158" s="239"/>
      <c r="E158" s="269"/>
      <c r="F158" s="245">
        <v>10</v>
      </c>
      <c r="G158" s="239">
        <v>4</v>
      </c>
      <c r="H158" s="249">
        <f t="shared" si="5"/>
        <v>40</v>
      </c>
      <c r="J158" s="60"/>
      <c r="L158" s="60"/>
      <c r="M158" s="60"/>
    </row>
    <row r="159" spans="1:13" ht="12.75">
      <c r="A159" s="63"/>
      <c r="B159" s="238" t="s">
        <v>286</v>
      </c>
      <c r="C159" s="244"/>
      <c r="D159" s="239"/>
      <c r="E159" s="269"/>
      <c r="F159" s="245">
        <v>20</v>
      </c>
      <c r="G159" s="239">
        <v>1</v>
      </c>
      <c r="H159" s="249">
        <f t="shared" si="5"/>
        <v>20</v>
      </c>
      <c r="J159" s="60"/>
      <c r="L159" s="60"/>
      <c r="M159" s="60"/>
    </row>
    <row r="160" spans="1:13" ht="13.5" thickBot="1">
      <c r="A160" s="235"/>
      <c r="B160" s="238" t="s">
        <v>252</v>
      </c>
      <c r="C160" s="244"/>
      <c r="D160" s="239"/>
      <c r="E160" s="269"/>
      <c r="F160" s="314">
        <v>290</v>
      </c>
      <c r="G160" s="246">
        <v>1</v>
      </c>
      <c r="H160" s="316">
        <f t="shared" si="5"/>
        <v>290</v>
      </c>
      <c r="J160" s="60"/>
      <c r="L160" s="60"/>
      <c r="M160" s="60"/>
    </row>
    <row r="161" spans="10:13" ht="13.5" thickBot="1">
      <c r="J161" s="60"/>
      <c r="L161" s="60"/>
      <c r="M161" s="60"/>
    </row>
    <row r="162" spans="1:8" ht="13.5" thickBot="1">
      <c r="A162" s="1" t="s">
        <v>0</v>
      </c>
      <c r="B162" s="236" t="s">
        <v>96</v>
      </c>
      <c r="C162" s="237"/>
      <c r="D162" s="237"/>
      <c r="F162" s="72"/>
      <c r="G162" s="72"/>
      <c r="H162" s="72"/>
    </row>
    <row r="163" spans="1:10" ht="13.5" thickBot="1">
      <c r="A163" s="56">
        <v>1</v>
      </c>
      <c r="B163" s="2" t="s">
        <v>1</v>
      </c>
      <c r="C163" s="2" t="s">
        <v>2</v>
      </c>
      <c r="D163" s="2" t="s">
        <v>4</v>
      </c>
      <c r="F163" s="199"/>
      <c r="G163" s="199"/>
      <c r="H163" s="72"/>
      <c r="J163" s="283"/>
    </row>
    <row r="164" spans="1:8" ht="12.75">
      <c r="A164" s="4">
        <v>2</v>
      </c>
      <c r="B164" s="122">
        <v>2600</v>
      </c>
      <c r="C164" s="119">
        <v>600</v>
      </c>
      <c r="D164" s="33">
        <v>1</v>
      </c>
      <c r="E164" t="s">
        <v>101</v>
      </c>
      <c r="F164" s="72"/>
      <c r="G164" s="29"/>
      <c r="H164" s="72"/>
    </row>
    <row r="165" spans="1:8" ht="13.5" thickBot="1">
      <c r="A165" s="185">
        <v>4</v>
      </c>
      <c r="B165" s="6">
        <v>1780</v>
      </c>
      <c r="C165" s="9">
        <v>600</v>
      </c>
      <c r="D165" s="7">
        <v>1</v>
      </c>
      <c r="E165" t="s">
        <v>102</v>
      </c>
      <c r="F165" s="72"/>
      <c r="G165" s="29"/>
      <c r="H165" s="72"/>
    </row>
    <row r="166" spans="2:8" ht="13.5" thickBot="1">
      <c r="B166" s="36">
        <v>1000</v>
      </c>
      <c r="C166" s="46">
        <v>600</v>
      </c>
      <c r="D166" s="37">
        <v>1</v>
      </c>
      <c r="E166" t="s">
        <v>105</v>
      </c>
      <c r="F166" s="72"/>
      <c r="G166" s="29"/>
      <c r="H166" s="72"/>
    </row>
    <row r="167" spans="6:8" ht="12.75">
      <c r="F167" s="72"/>
      <c r="G167" s="72"/>
      <c r="H167" s="72"/>
    </row>
    <row r="168" spans="3:9" ht="12.75">
      <c r="C168" s="72"/>
      <c r="D168" s="72"/>
      <c r="E168" s="72"/>
      <c r="F168" s="72"/>
      <c r="G168" s="72"/>
      <c r="H168" s="72"/>
      <c r="I168" s="72"/>
    </row>
    <row r="169" spans="3:9" ht="12.75">
      <c r="C169" s="72"/>
      <c r="D169" s="29"/>
      <c r="E169" s="72"/>
      <c r="F169" s="72"/>
      <c r="G169" s="72"/>
      <c r="H169" s="72"/>
      <c r="I169" s="72"/>
    </row>
    <row r="170" spans="3:9" ht="12.75">
      <c r="C170" s="72"/>
      <c r="D170" s="29"/>
      <c r="E170" s="72"/>
      <c r="F170" s="72"/>
      <c r="G170" s="72"/>
      <c r="H170" s="72"/>
      <c r="I170" s="72"/>
    </row>
    <row r="171" spans="3:9" ht="12.75">
      <c r="C171" s="72"/>
      <c r="D171" s="72"/>
      <c r="E171" s="72"/>
      <c r="F171" s="72"/>
      <c r="G171" s="72"/>
      <c r="H171" s="72"/>
      <c r="I171" s="72"/>
    </row>
    <row r="172" spans="3:9" ht="12.75">
      <c r="C172" s="72"/>
      <c r="D172" s="72"/>
      <c r="E172" s="72"/>
      <c r="F172" s="72"/>
      <c r="G172" s="72"/>
      <c r="H172" s="72"/>
      <c r="I172" s="72"/>
    </row>
    <row r="173" spans="3:9" ht="12.75">
      <c r="C173" s="72"/>
      <c r="D173" s="72"/>
      <c r="E173" s="72"/>
      <c r="F173" s="72"/>
      <c r="G173" s="72"/>
      <c r="H173" s="72"/>
      <c r="I173" s="72"/>
    </row>
  </sheetData>
  <printOptions/>
  <pageMargins left="0.42" right="0.75" top="0.33" bottom="0.36" header="0.19" footer="0.19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ySplit="2" topLeftCell="BM3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6.125" style="0" customWidth="1"/>
    <col min="4" max="4" width="4.75390625" style="0" customWidth="1"/>
    <col min="6" max="6" width="7.00390625" style="0" customWidth="1"/>
    <col min="8" max="8" width="4.00390625" style="0" customWidth="1"/>
    <col min="9" max="9" width="5.875" style="0" customWidth="1"/>
    <col min="10" max="10" width="9.625" style="0" customWidth="1"/>
    <col min="11" max="11" width="8.625" style="0" customWidth="1"/>
    <col min="12" max="12" width="7.375" style="0" customWidth="1"/>
    <col min="14" max="14" width="9.00390625" style="0" customWidth="1"/>
  </cols>
  <sheetData>
    <row r="1" spans="3:4" ht="15" customHeight="1" thickBot="1">
      <c r="C1" s="52" t="s">
        <v>65</v>
      </c>
      <c r="D1" s="48"/>
    </row>
    <row r="2" spans="2:7" ht="13.5" thickBot="1">
      <c r="B2" s="1" t="s">
        <v>0</v>
      </c>
      <c r="C2" s="2" t="s">
        <v>220</v>
      </c>
      <c r="D2" s="2" t="s">
        <v>221</v>
      </c>
      <c r="E2" s="2" t="s">
        <v>3</v>
      </c>
      <c r="F2" s="2" t="s">
        <v>4</v>
      </c>
      <c r="G2" s="3" t="s">
        <v>5</v>
      </c>
    </row>
    <row r="3" spans="1:10" ht="12.75">
      <c r="A3" s="228">
        <v>1</v>
      </c>
      <c r="B3" s="101">
        <v>1</v>
      </c>
      <c r="C3" s="102">
        <v>570</v>
      </c>
      <c r="D3" s="102">
        <v>496</v>
      </c>
      <c r="E3" s="102">
        <f aca="true" t="shared" si="0" ref="E3:E12">C3*D3/1000000</f>
        <v>0.28272</v>
      </c>
      <c r="F3" s="102">
        <v>2</v>
      </c>
      <c r="G3" s="227">
        <f aca="true" t="shared" si="1" ref="G3:G12">E3*F3</f>
        <v>0.56544</v>
      </c>
      <c r="H3" s="75" t="s">
        <v>117</v>
      </c>
      <c r="I3" s="256" t="s">
        <v>222</v>
      </c>
      <c r="J3" s="64" t="s">
        <v>169</v>
      </c>
    </row>
    <row r="4" spans="1:10" ht="13.5" thickBot="1">
      <c r="A4" s="66">
        <v>2</v>
      </c>
      <c r="B4" s="73">
        <v>1</v>
      </c>
      <c r="C4" s="226">
        <v>140</v>
      </c>
      <c r="D4" s="226">
        <v>496</v>
      </c>
      <c r="E4" s="99">
        <f>C4*D4/1000000</f>
        <v>0.06944</v>
      </c>
      <c r="F4" s="99">
        <v>2</v>
      </c>
      <c r="G4" s="78">
        <f>E4*F4</f>
        <v>0.13888</v>
      </c>
      <c r="H4" s="76" t="s">
        <v>118</v>
      </c>
      <c r="I4" s="257" t="s">
        <v>223</v>
      </c>
      <c r="J4" s="64"/>
    </row>
    <row r="5" spans="1:10" ht="13.5" thickBot="1">
      <c r="A5" s="86">
        <v>3</v>
      </c>
      <c r="B5" s="86">
        <v>1</v>
      </c>
      <c r="C5" s="87">
        <v>140</v>
      </c>
      <c r="D5" s="87">
        <v>596</v>
      </c>
      <c r="E5" s="204">
        <f t="shared" si="0"/>
        <v>0.08344</v>
      </c>
      <c r="F5" s="87">
        <v>1</v>
      </c>
      <c r="G5" s="200">
        <f t="shared" si="1"/>
        <v>0.08344</v>
      </c>
      <c r="H5" s="76" t="s">
        <v>118</v>
      </c>
      <c r="I5" s="258" t="s">
        <v>222</v>
      </c>
      <c r="J5" s="64" t="s">
        <v>54</v>
      </c>
    </row>
    <row r="6" spans="1:10" ht="12.75">
      <c r="A6" s="101">
        <v>4</v>
      </c>
      <c r="B6" s="101">
        <v>1</v>
      </c>
      <c r="C6" s="102">
        <v>140</v>
      </c>
      <c r="D6" s="205">
        <v>496</v>
      </c>
      <c r="E6" s="102">
        <f t="shared" si="0"/>
        <v>0.06944</v>
      </c>
      <c r="F6" s="102">
        <v>3</v>
      </c>
      <c r="G6" s="201">
        <f t="shared" si="1"/>
        <v>0.20832</v>
      </c>
      <c r="H6" s="76" t="s">
        <v>118</v>
      </c>
      <c r="I6" s="257" t="s">
        <v>223</v>
      </c>
      <c r="J6" s="64" t="s">
        <v>170</v>
      </c>
    </row>
    <row r="7" spans="1:10" ht="13.5" thickBot="1">
      <c r="A7" s="74">
        <v>5</v>
      </c>
      <c r="B7" s="74">
        <v>2</v>
      </c>
      <c r="C7" s="99">
        <v>283</v>
      </c>
      <c r="D7" s="206">
        <v>496</v>
      </c>
      <c r="E7" s="99">
        <f t="shared" si="0"/>
        <v>0.140368</v>
      </c>
      <c r="F7" s="99">
        <v>1</v>
      </c>
      <c r="G7" s="202">
        <f t="shared" si="1"/>
        <v>0.140368</v>
      </c>
      <c r="H7" s="76" t="s">
        <v>118</v>
      </c>
      <c r="I7" s="257" t="s">
        <v>223</v>
      </c>
      <c r="J7" s="64"/>
    </row>
    <row r="8" spans="1:10" ht="12.75">
      <c r="A8" s="101">
        <v>6</v>
      </c>
      <c r="B8" s="101">
        <v>1</v>
      </c>
      <c r="C8" s="102">
        <v>713</v>
      </c>
      <c r="D8" s="205">
        <v>396</v>
      </c>
      <c r="E8" s="102">
        <f t="shared" si="0"/>
        <v>0.282348</v>
      </c>
      <c r="F8" s="102">
        <v>1</v>
      </c>
      <c r="G8" s="201">
        <f t="shared" si="1"/>
        <v>0.282348</v>
      </c>
      <c r="H8" s="76" t="s">
        <v>119</v>
      </c>
      <c r="I8" s="258" t="s">
        <v>222</v>
      </c>
      <c r="J8" s="61" t="s">
        <v>171</v>
      </c>
    </row>
    <row r="9" spans="1:10" ht="13.5" thickBot="1">
      <c r="A9" s="69">
        <v>7</v>
      </c>
      <c r="B9" s="69">
        <v>2</v>
      </c>
      <c r="C9" s="70">
        <v>713</v>
      </c>
      <c r="D9" s="46">
        <v>396</v>
      </c>
      <c r="E9" s="70">
        <f t="shared" si="0"/>
        <v>0.282348</v>
      </c>
      <c r="F9" s="70">
        <v>1</v>
      </c>
      <c r="G9" s="203">
        <f t="shared" si="1"/>
        <v>0.282348</v>
      </c>
      <c r="H9" s="76" t="s">
        <v>120</v>
      </c>
      <c r="I9" s="258" t="s">
        <v>222</v>
      </c>
      <c r="J9" s="61"/>
    </row>
    <row r="10" spans="1:10" ht="12.75">
      <c r="A10" s="101">
        <v>8</v>
      </c>
      <c r="B10" s="101">
        <v>1</v>
      </c>
      <c r="C10" s="102">
        <v>283</v>
      </c>
      <c r="D10" s="205">
        <v>596</v>
      </c>
      <c r="E10" s="102">
        <f t="shared" si="0"/>
        <v>0.168668</v>
      </c>
      <c r="F10" s="102">
        <v>2</v>
      </c>
      <c r="G10" s="201">
        <f t="shared" si="1"/>
        <v>0.337336</v>
      </c>
      <c r="H10" s="76" t="s">
        <v>118</v>
      </c>
      <c r="I10" s="257" t="s">
        <v>223</v>
      </c>
      <c r="J10" s="64" t="s">
        <v>194</v>
      </c>
    </row>
    <row r="11" spans="1:10" ht="13.5" thickBot="1">
      <c r="A11" s="69">
        <v>9</v>
      </c>
      <c r="B11" s="69">
        <v>2</v>
      </c>
      <c r="C11" s="70">
        <v>140</v>
      </c>
      <c r="D11" s="207">
        <v>596</v>
      </c>
      <c r="E11" s="70">
        <f t="shared" si="0"/>
        <v>0.08344</v>
      </c>
      <c r="F11" s="70">
        <v>1</v>
      </c>
      <c r="G11" s="203">
        <f t="shared" si="1"/>
        <v>0.08344</v>
      </c>
      <c r="H11" s="76" t="s">
        <v>118</v>
      </c>
      <c r="I11" s="257" t="s">
        <v>223</v>
      </c>
      <c r="J11" s="61"/>
    </row>
    <row r="12" spans="1:10" ht="13.5" thickBot="1">
      <c r="A12" s="86">
        <v>10</v>
      </c>
      <c r="B12" s="86">
        <v>1</v>
      </c>
      <c r="C12" s="87">
        <v>713</v>
      </c>
      <c r="D12" s="204">
        <v>296</v>
      </c>
      <c r="E12" s="87">
        <f t="shared" si="0"/>
        <v>0.211048</v>
      </c>
      <c r="F12" s="87">
        <v>1</v>
      </c>
      <c r="G12" s="200">
        <f t="shared" si="1"/>
        <v>0.211048</v>
      </c>
      <c r="H12" s="77" t="s">
        <v>119</v>
      </c>
      <c r="I12" s="259" t="s">
        <v>222</v>
      </c>
      <c r="J12" s="64" t="s">
        <v>173</v>
      </c>
    </row>
    <row r="13" spans="4:10" ht="13.5" thickBot="1">
      <c r="D13" s="49" t="s">
        <v>177</v>
      </c>
      <c r="E13" s="50"/>
      <c r="F13" s="50"/>
      <c r="G13" s="51">
        <f>G3+G5+G6+G9+G11+G12+G7+G8+G10</f>
        <v>2.194088</v>
      </c>
      <c r="J13" s="64"/>
    </row>
    <row r="14" spans="4:10" ht="13.5" thickBot="1">
      <c r="D14" s="208" t="s">
        <v>178</v>
      </c>
      <c r="E14" s="209"/>
      <c r="F14" s="209"/>
      <c r="G14" s="210">
        <f>F3+F5+F6+F7+F8+F9+F10+F11+F12</f>
        <v>13</v>
      </c>
      <c r="J14" s="64"/>
    </row>
    <row r="15" spans="1:11" ht="12.75">
      <c r="A15" s="228">
        <v>11</v>
      </c>
      <c r="B15" s="205">
        <v>1</v>
      </c>
      <c r="C15" s="102">
        <v>713</v>
      </c>
      <c r="D15" s="102">
        <v>296</v>
      </c>
      <c r="E15" s="102">
        <f>C15*D15/1000000</f>
        <v>0.211048</v>
      </c>
      <c r="F15" s="102">
        <v>4</v>
      </c>
      <c r="G15" s="201">
        <f>E15*F15</f>
        <v>0.844192</v>
      </c>
      <c r="H15" s="75" t="s">
        <v>117</v>
      </c>
      <c r="I15" s="260" t="s">
        <v>223</v>
      </c>
      <c r="J15" s="64" t="s">
        <v>174</v>
      </c>
      <c r="K15" t="s">
        <v>160</v>
      </c>
    </row>
    <row r="16" spans="1:12" ht="12.75">
      <c r="A16" s="230">
        <v>12</v>
      </c>
      <c r="B16" s="229">
        <v>1</v>
      </c>
      <c r="C16" s="160">
        <v>900</v>
      </c>
      <c r="D16" s="160">
        <v>396</v>
      </c>
      <c r="E16" s="160">
        <f>C16*D16/1000000</f>
        <v>0.3564</v>
      </c>
      <c r="F16" s="160">
        <v>1</v>
      </c>
      <c r="G16" s="214">
        <f>E16*F16</f>
        <v>0.3564</v>
      </c>
      <c r="H16" s="76" t="s">
        <v>119</v>
      </c>
      <c r="I16" s="258" t="s">
        <v>222</v>
      </c>
      <c r="J16" s="64" t="s">
        <v>175</v>
      </c>
      <c r="K16" t="s">
        <v>38</v>
      </c>
      <c r="L16" t="s">
        <v>224</v>
      </c>
    </row>
    <row r="17" spans="1:12" ht="13.5" thickBot="1">
      <c r="A17" s="230">
        <v>13</v>
      </c>
      <c r="B17" s="229">
        <v>1</v>
      </c>
      <c r="C17" s="160">
        <v>713</v>
      </c>
      <c r="D17" s="160">
        <v>396</v>
      </c>
      <c r="E17" s="160">
        <f>C17*D17/1000000</f>
        <v>0.282348</v>
      </c>
      <c r="F17" s="160">
        <v>2</v>
      </c>
      <c r="G17" s="214">
        <f>E17*F17</f>
        <v>0.564696</v>
      </c>
      <c r="H17" s="76" t="s">
        <v>117</v>
      </c>
      <c r="I17" s="258" t="s">
        <v>222</v>
      </c>
      <c r="J17" s="64" t="s">
        <v>176</v>
      </c>
      <c r="K17" t="s">
        <v>161</v>
      </c>
      <c r="L17" t="s">
        <v>224</v>
      </c>
    </row>
    <row r="18" spans="1:13" ht="13.5" thickBot="1">
      <c r="A18" s="230">
        <v>14</v>
      </c>
      <c r="B18" s="229">
        <v>1</v>
      </c>
      <c r="C18" s="268">
        <v>396</v>
      </c>
      <c r="D18" s="160">
        <v>596</v>
      </c>
      <c r="E18" s="160">
        <f>C18*D18/1000000</f>
        <v>0.236016</v>
      </c>
      <c r="F18" s="160">
        <v>1</v>
      </c>
      <c r="G18" s="214">
        <f>E18*F18</f>
        <v>0.236016</v>
      </c>
      <c r="H18" s="76" t="s">
        <v>181</v>
      </c>
      <c r="I18" s="257" t="s">
        <v>223</v>
      </c>
      <c r="J18" s="64" t="s">
        <v>59</v>
      </c>
      <c r="K18" t="s">
        <v>37</v>
      </c>
      <c r="L18" s="262" t="s">
        <v>225</v>
      </c>
      <c r="M18" s="263"/>
    </row>
    <row r="19" spans="1:11" ht="13.5" thickBot="1">
      <c r="A19" s="231">
        <v>15</v>
      </c>
      <c r="B19" s="207">
        <v>1</v>
      </c>
      <c r="C19" s="70">
        <v>396</v>
      </c>
      <c r="D19" s="70">
        <v>596</v>
      </c>
      <c r="E19" s="70">
        <f>C19*D19/1000000</f>
        <v>0.236016</v>
      </c>
      <c r="F19" s="70">
        <v>1</v>
      </c>
      <c r="G19" s="203">
        <f>E19*F19</f>
        <v>0.236016</v>
      </c>
      <c r="H19" s="77" t="s">
        <v>181</v>
      </c>
      <c r="I19" s="261" t="s">
        <v>223</v>
      </c>
      <c r="J19" s="64" t="s">
        <v>40</v>
      </c>
      <c r="K19" t="s">
        <v>41</v>
      </c>
    </row>
    <row r="20" spans="1:7" ht="13.5" thickBot="1">
      <c r="A20" s="232"/>
      <c r="B20" s="233"/>
      <c r="C20" s="234"/>
      <c r="D20" s="23"/>
      <c r="E20" s="23"/>
      <c r="F20" s="23"/>
      <c r="G20" s="79"/>
    </row>
    <row r="21" spans="4:7" ht="13.5" thickBot="1">
      <c r="D21" s="211" t="s">
        <v>179</v>
      </c>
      <c r="E21" s="212"/>
      <c r="F21" s="212"/>
      <c r="G21" s="213">
        <f>G15+G16+G17+G18+G19</f>
        <v>2.2373200000000004</v>
      </c>
    </row>
    <row r="22" spans="4:7" ht="13.5" thickBot="1">
      <c r="D22" s="49" t="s">
        <v>180</v>
      </c>
      <c r="E22" s="50"/>
      <c r="F22" s="50"/>
      <c r="G22" s="51">
        <f>F15+F16+F17+F18+F19</f>
        <v>9</v>
      </c>
    </row>
    <row r="23" spans="6:7" ht="13.5" thickBot="1">
      <c r="F23" t="s">
        <v>77</v>
      </c>
      <c r="G23" t="s">
        <v>13</v>
      </c>
    </row>
    <row r="24" spans="4:7" ht="13.5" thickBot="1">
      <c r="D24" s="49" t="s">
        <v>75</v>
      </c>
      <c r="E24" s="50"/>
      <c r="F24" s="50">
        <f>F3+F4+F5+F6+F7+F8+F10+F12+F16+F17+F18+F19+F15+F11+F9</f>
        <v>24</v>
      </c>
      <c r="G24" s="51">
        <f>G13+G21</f>
        <v>4.431408</v>
      </c>
    </row>
    <row r="25" spans="1:7" ht="13.5" thickBot="1">
      <c r="A25" t="s">
        <v>76</v>
      </c>
      <c r="C25">
        <v>192</v>
      </c>
      <c r="D25">
        <v>195</v>
      </c>
      <c r="E25">
        <v>220</v>
      </c>
      <c r="F25">
        <v>250</v>
      </c>
      <c r="G25">
        <v>217</v>
      </c>
    </row>
    <row r="26" spans="1:7" ht="13.5" thickBot="1">
      <c r="A26" s="26" t="s">
        <v>61</v>
      </c>
      <c r="B26" s="26"/>
      <c r="C26" s="111">
        <f>G24*C25</f>
        <v>850.830336</v>
      </c>
      <c r="D26" s="111">
        <f>G24*D25</f>
        <v>864.1245600000001</v>
      </c>
      <c r="E26" s="111">
        <f>G24*E25</f>
        <v>974.90976</v>
      </c>
      <c r="F26" s="111">
        <f>G24*F25</f>
        <v>1107.852</v>
      </c>
      <c r="G26" s="111">
        <f>G24*G25</f>
        <v>961.615536</v>
      </c>
    </row>
    <row r="27" spans="4:7" ht="12.75">
      <c r="D27">
        <f>D26-C26</f>
        <v>13.2942240000001</v>
      </c>
      <c r="E27">
        <f>E26-C26</f>
        <v>124.07942400000002</v>
      </c>
      <c r="F27">
        <f>F26-C26</f>
        <v>257.0216640000001</v>
      </c>
      <c r="G27">
        <f>G26-C26</f>
        <v>110.78520000000003</v>
      </c>
    </row>
  </sheetData>
  <printOptions/>
  <pageMargins left="0.44" right="0.75" top="0.4" bottom="1" header="0.31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5"/>
  <sheetViews>
    <sheetView workbookViewId="0" topLeftCell="A54">
      <selection activeCell="A66" sqref="A66"/>
    </sheetView>
  </sheetViews>
  <sheetFormatPr defaultColWidth="9.00390625" defaultRowHeight="12.75"/>
  <sheetData>
    <row r="1" ht="12.75">
      <c r="A1" t="s">
        <v>303</v>
      </c>
    </row>
    <row r="20" ht="12.75">
      <c r="A20" t="s">
        <v>304</v>
      </c>
    </row>
    <row r="43" ht="12.75">
      <c r="A43" t="s">
        <v>305</v>
      </c>
    </row>
    <row r="65" ht="12.75">
      <c r="A65" t="s">
        <v>306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cp:lastPrinted>2007-05-31T09:39:06Z</cp:lastPrinted>
  <dcterms:created xsi:type="dcterms:W3CDTF">2007-01-06T21:54:53Z</dcterms:created>
  <dcterms:modified xsi:type="dcterms:W3CDTF">2007-08-22T20:49:41Z</dcterms:modified>
  <cp:category/>
  <cp:version/>
  <cp:contentType/>
  <cp:contentStatus/>
</cp:coreProperties>
</file>